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V:\Eelarveosakond\oma\Eelarve\2023 ea seadus\Eelarved\"/>
    </mc:Choice>
  </mc:AlternateContent>
  <xr:revisionPtr revIDLastSave="0" documentId="13_ncr:1_{1E0015D4-8D6B-4579-BCB8-EE474FF85B5B}" xr6:coauthVersionLast="47" xr6:coauthVersionMax="47" xr10:uidLastSave="{00000000-0000-0000-0000-000000000000}"/>
  <bookViews>
    <workbookView xWindow="-108" yWindow="-108" windowWidth="23256" windowHeight="12576" xr2:uid="{911BB1A6-BF45-4C80-B217-662861EE6E42}"/>
  </bookViews>
  <sheets>
    <sheet name="Lisa 8 MKM_toetused" sheetId="1" r:id="rId1"/>
  </sheets>
  <definedNames>
    <definedName name="_xlnm._FilterDatabase" localSheetId="0" hidden="1">'Lisa 8 MKM_toetused'!$A$17:$L$120</definedName>
    <definedName name="_xlnm.Print_Area" localSheetId="0">'Lisa 8 MKM_toetused'!$A$1:$L$120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8" i="1" l="1"/>
  <c r="L45" i="1"/>
  <c r="L84" i="1" l="1"/>
  <c r="J85" i="1"/>
  <c r="K85" i="1"/>
  <c r="L85" i="1"/>
  <c r="I85" i="1"/>
  <c r="J46" i="1"/>
  <c r="K46" i="1"/>
  <c r="L46" i="1"/>
  <c r="I46" i="1"/>
  <c r="J51" i="1" l="1"/>
  <c r="K51" i="1"/>
  <c r="K56" i="1"/>
  <c r="I56" i="1"/>
  <c r="I48" i="1"/>
  <c r="J44" i="1"/>
  <c r="K44" i="1"/>
  <c r="I44" i="1"/>
  <c r="L43" i="1"/>
  <c r="L44" i="1" s="1"/>
  <c r="L41" i="1"/>
  <c r="L42" i="1" s="1"/>
  <c r="J42" i="1"/>
  <c r="K42" i="1"/>
  <c r="I42" i="1"/>
  <c r="J40" i="1"/>
  <c r="K40" i="1"/>
  <c r="I40" i="1"/>
  <c r="L38" i="1"/>
  <c r="L39" i="1"/>
  <c r="L37" i="1"/>
  <c r="K35" i="1"/>
  <c r="L35" i="1" s="1"/>
  <c r="L36" i="1" s="1"/>
  <c r="J36" i="1"/>
  <c r="I36" i="1"/>
  <c r="K36" i="1" l="1"/>
  <c r="L40" i="1"/>
  <c r="J96" i="1"/>
  <c r="K96" i="1"/>
  <c r="I96" i="1"/>
  <c r="L94" i="1"/>
  <c r="K76" i="1"/>
  <c r="L76" i="1" s="1"/>
  <c r="L77" i="1"/>
  <c r="L47" i="1"/>
  <c r="J83" i="1"/>
  <c r="K83" i="1"/>
  <c r="L80" i="1"/>
  <c r="L81" i="1"/>
  <c r="L82" i="1"/>
  <c r="I50" i="1"/>
  <c r="J78" i="1" l="1"/>
  <c r="K78" i="1"/>
  <c r="L78" i="1"/>
  <c r="I78" i="1"/>
  <c r="K70" i="1" l="1"/>
  <c r="J75" i="1"/>
  <c r="K75" i="1"/>
  <c r="L65" i="1"/>
  <c r="J120" i="1"/>
  <c r="K120" i="1"/>
  <c r="J117" i="1"/>
  <c r="J115" i="1"/>
  <c r="J112" i="1"/>
  <c r="K112" i="1"/>
  <c r="I112" i="1"/>
  <c r="J107" i="1"/>
  <c r="K107" i="1"/>
  <c r="J104" i="1"/>
  <c r="K104" i="1"/>
  <c r="I104" i="1"/>
  <c r="J100" i="1"/>
  <c r="K100" i="1"/>
  <c r="J98" i="1"/>
  <c r="K98" i="1"/>
  <c r="J93" i="1"/>
  <c r="K93" i="1"/>
  <c r="J34" i="1" l="1"/>
  <c r="K34" i="1"/>
  <c r="J32" i="1"/>
  <c r="K32" i="1"/>
  <c r="J30" i="1"/>
  <c r="K30" i="1"/>
  <c r="J27" i="1"/>
  <c r="K27" i="1"/>
  <c r="J23" i="1"/>
  <c r="K23" i="1"/>
  <c r="K116" i="1" l="1"/>
  <c r="K117" i="1" s="1"/>
  <c r="K114" i="1"/>
  <c r="K115" i="1" s="1"/>
  <c r="L111" i="1" l="1"/>
  <c r="L110" i="1"/>
  <c r="L116" i="1"/>
  <c r="L117" i="1" s="1"/>
  <c r="L114" i="1"/>
  <c r="L113" i="1"/>
  <c r="L109" i="1"/>
  <c r="L119" i="1"/>
  <c r="L118" i="1"/>
  <c r="L120" i="1" s="1"/>
  <c r="L108" i="1"/>
  <c r="L106" i="1"/>
  <c r="L105" i="1"/>
  <c r="L107" i="1" s="1"/>
  <c r="L103" i="1"/>
  <c r="L102" i="1"/>
  <c r="L101" i="1"/>
  <c r="L99" i="1"/>
  <c r="L100" i="1" s="1"/>
  <c r="L97" i="1"/>
  <c r="L98" i="1" s="1"/>
  <c r="L95" i="1"/>
  <c r="L96" i="1" s="1"/>
  <c r="L92" i="1"/>
  <c r="L91" i="1"/>
  <c r="L90" i="1"/>
  <c r="L89" i="1"/>
  <c r="L88" i="1"/>
  <c r="L87" i="1"/>
  <c r="L86" i="1"/>
  <c r="L79" i="1"/>
  <c r="L83" i="1" s="1"/>
  <c r="L74" i="1"/>
  <c r="L73" i="1"/>
  <c r="L72" i="1"/>
  <c r="L71" i="1"/>
  <c r="L69" i="1"/>
  <c r="L68" i="1"/>
  <c r="L66" i="1"/>
  <c r="L64" i="1"/>
  <c r="L63" i="1"/>
  <c r="L61" i="1"/>
  <c r="L60" i="1"/>
  <c r="L59" i="1"/>
  <c r="L58" i="1"/>
  <c r="L57" i="1"/>
  <c r="L49" i="1"/>
  <c r="L55" i="1"/>
  <c r="L53" i="1"/>
  <c r="L52" i="1"/>
  <c r="L33" i="1"/>
  <c r="L34" i="1" s="1"/>
  <c r="L31" i="1"/>
  <c r="L32" i="1" s="1"/>
  <c r="L29" i="1"/>
  <c r="L28" i="1"/>
  <c r="L26" i="1"/>
  <c r="L25" i="1"/>
  <c r="L24" i="1"/>
  <c r="L22" i="1"/>
  <c r="L23" i="1" s="1"/>
  <c r="L20" i="1"/>
  <c r="L19" i="1"/>
  <c r="K17" i="1"/>
  <c r="L18" i="1"/>
  <c r="L115" i="1" l="1"/>
  <c r="L93" i="1"/>
  <c r="L104" i="1"/>
  <c r="L30" i="1"/>
  <c r="L112" i="1"/>
  <c r="L27" i="1"/>
  <c r="K6" i="1"/>
  <c r="K7" i="1"/>
  <c r="K8" i="1"/>
  <c r="K9" i="1"/>
  <c r="K10" i="1"/>
  <c r="K11" i="1"/>
  <c r="K12" i="1"/>
  <c r="J6" i="1"/>
  <c r="J7" i="1"/>
  <c r="J8" i="1"/>
  <c r="J9" i="1"/>
  <c r="J10" i="1"/>
  <c r="J11" i="1"/>
  <c r="J12" i="1"/>
  <c r="I12" i="1"/>
  <c r="I11" i="1"/>
  <c r="I7" i="1"/>
  <c r="I34" i="1"/>
  <c r="I120" i="1"/>
  <c r="I115" i="1"/>
  <c r="I117" i="1"/>
  <c r="I23" i="1"/>
  <c r="K13" i="1" l="1"/>
  <c r="J13" i="1"/>
  <c r="L12" i="1" l="1"/>
  <c r="L11" i="1"/>
  <c r="L7" i="1"/>
  <c r="J21" i="1"/>
  <c r="J17" i="1" l="1"/>
  <c r="L56" i="1" l="1"/>
  <c r="I107" i="1"/>
  <c r="I100" i="1"/>
  <c r="I98" i="1"/>
  <c r="I93" i="1"/>
  <c r="I83" i="1"/>
  <c r="I70" i="1"/>
  <c r="L70" i="1" s="1"/>
  <c r="I67" i="1"/>
  <c r="L67" i="1" s="1"/>
  <c r="I62" i="1"/>
  <c r="L62" i="1" s="1"/>
  <c r="I54" i="1"/>
  <c r="L54" i="1" s="1"/>
  <c r="L50" i="1"/>
  <c r="I51" i="1"/>
  <c r="I32" i="1"/>
  <c r="I30" i="1"/>
  <c r="I27" i="1"/>
  <c r="I21" i="1"/>
  <c r="L48" i="1" l="1"/>
  <c r="L51" i="1" s="1"/>
  <c r="L75" i="1"/>
  <c r="L10" i="1"/>
  <c r="I10" i="1"/>
  <c r="I8" i="1"/>
  <c r="L9" i="1"/>
  <c r="I9" i="1"/>
  <c r="L6" i="1"/>
  <c r="I6" i="1"/>
  <c r="I75" i="1"/>
  <c r="L21" i="1"/>
  <c r="I17" i="1" l="1"/>
  <c r="L17" i="1"/>
  <c r="I13" i="1"/>
  <c r="L8" i="1"/>
  <c r="L1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tc={8CB6B49E-B3BF-4163-89D6-C428EFD495EC}</author>
    <author>tc={7752C26D-A5D3-4720-8535-772C39D0802F}</author>
    <author>tc={2F86FC18-0532-4E7E-83F4-ABD1B1EA5979}</author>
    <author>tc={D7F75D93-67E4-4CEE-A797-8AD0BA1764D6}</author>
    <author>tc={B8042C57-692D-40B2-88CC-09320E55163A}</author>
    <author>tc={006029BA-D35F-4347-9D31-5B9D2840CCD4}</author>
    <author>tc={6C63ABCA-2462-419C-A458-F70266E65362}</author>
    <author>tc={F4D35221-AA24-493D-95B1-8C342290F399}</author>
    <author>tc={4B1A5439-9188-40C6-8CDC-3D4FBF6C0D55}</author>
    <author>tc={AC121974-78A6-4C84-8E55-0CE0A193D435}</author>
    <author>tc={BF775157-8E5A-4D1C-A183-396DB008EDED}</author>
    <author>tc={8042C6B8-D391-4F94-9266-302C87F0EBC7}</author>
    <author>tc={CD161EC8-8C29-488A-A12E-FA4A28F64F3A}</author>
    <author>tc={7DFF3D93-4B12-4D05-9266-451C44C8F74B}</author>
    <author>tc={1FCA0228-CC84-47D8-80BE-D7324F5188EC}</author>
    <author>tc={8A1124C6-D4B4-4F5D-9D1F-E65D0CB8BAED}</author>
  </authors>
  <commentList>
    <comment ref="K28" authorId="0" shapeId="0" xr:uid="{8CB6B49E-B3BF-4163-89D6-C428EFD495EC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Suunati RIKSi tegev toetusesse</t>
      </text>
    </comment>
    <comment ref="K29" authorId="1" shapeId="0" xr:uid="{7752C26D-A5D3-4720-8535-772C39D0802F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RIKSi inv toetuste arvelt</t>
      </text>
    </comment>
    <comment ref="H35" authorId="2" shapeId="0" xr:uid="{2F86FC18-0532-4E7E-83F4-ABD1B1EA5979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Sh ESA ja CERNi liikmemaksud 1,9 M, mis ületavad RO maksude eelarvet</t>
      </text>
    </comment>
    <comment ref="K47" authorId="3" shapeId="0" xr:uid="{D7F75D93-67E4-4CEE-A797-8AD0BA1764D6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Metroserdile</t>
      </text>
    </comment>
    <comment ref="K48" authorId="4" shapeId="0" xr:uid="{B8042C57-692D-40B2-88CC-09320E55163A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+367 tuh LifeSaver EISile + 20,1 M EISile jt laiali jagatud - 1 M inv toetustest juurde lisatud - 240 tuh Tööandjate Keskliidule</t>
      </text>
    </comment>
    <comment ref="K49" authorId="5" shapeId="0" xr:uid="{006029BA-D35F-4347-9D31-5B9D2840CCD4}">
      <text>
        <t xml:space="preserve">[Lõimkommentaar]
Teie Exceli versioon võimaldab teil seda lõimkommentaari lugeda, ent kõik sellesse tehtud muudatused eemaldatakse, kui fail avatakse Exceli uuemas versioonis. Lisateavet leiate siit: https://go.microsoft.com/fwlink/?linkid=870924.
Kommentaar:
    1 M inv toetust suunasin TA tegev toetustesse, sest kasutatakse tegev toetusena </t>
      </text>
    </comment>
    <comment ref="I50" authorId="6" shapeId="0" xr:uid="{6C63ABCA-2462-419C-A458-F70266E65362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UA_militaar kulud ei ole toetus, vaid MKMi teg kulud, seetõttu võtsin siit 100 tuh maha</t>
      </text>
    </comment>
    <comment ref="K56" authorId="7" shapeId="0" xr:uid="{F4D35221-AA24-493D-95B1-8C342290F399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-138 tuh grandilt "uusturg"-367 tuh LifeSaver EISile - 7 001,5 tuh EISile TA "üldpotist"</t>
      </text>
    </comment>
    <comment ref="B64" authorId="8" shapeId="0" xr:uid="{4B1A5439-9188-40C6-8CDC-3D4FBF6C0D55}">
      <text>
        <t xml:space="preserve">[Lõimkommentaar]
Teie Exceli versioon võimaldab teil seda lõimkommentaari lugeda, ent kõik sellesse tehtud muudatused eemaldatakse, kui fail avatakse Exceli uuemas versioonis. Lisateavet leiate siit: https://go.microsoft.com/fwlink/?linkid=870924.
Kommentaar:
    Et Kristale jääks märk maha - Elukondlikule kinnisvarale maapiirkondades ei tule eraldi grandikoodi, seal jätkame koodi 8N10-RE00-YYRIELAMUD kasutamist.
Seni oleme grandi 8N10-RE00-YYRIELAMUD juures kasutanud IN koodi IN070068 - Üürielamufondi loomine, kui nüüd kasutame ka IN koodi IN070100, mis käib kaasas elukondliku kinnisvaraga maapiirkondades.
Kulud suunduvad samasse teenusesse ehituse programmis, nagu üürielamufondi loomisegi kulud.
</t>
      </text>
    </comment>
    <comment ref="B65" authorId="9" shapeId="0" xr:uid="{AC121974-78A6-4C84-8E55-0CE0A193D435}">
      <text>
        <t xml:space="preserve">[Lõimkommentaar]
Teie Exceli versioon võimaldab teil seda lõimkommentaari lugeda, ent kõik sellesse tehtud muudatused eemaldatakse, kui fail avatakse Exceli uuemas versioonis. Lisateavet leiate siit: https://go.microsoft.com/fwlink/?linkid=870924.
Kommentaar:
    Et Kristale jääks märk maha - Elukondlikule kinnisvarale maapiirkondades ei tule eraldi grandikoodi, seal jätkame koodi 8N10-RE00-YYRIELAMUD kasutamist.
Seni oleme grandi 8N10-RE00-YYRIELAMUD juures kasutanud IN koodi IN070068 - Üürielamufondi loomine, kui nüüd kasutame ka IN koodi IN070100, mis käib kaasas elukondliku kinnisvaraga maapiirkondades.
Kulud suunduvad samasse teenusesse ehituse programmis, nagu üürielamufondi loomisegi kulud.
</t>
      </text>
    </comment>
    <comment ref="K70" authorId="10" shapeId="0" xr:uid="{BF775157-8E5A-4D1C-A183-396DB008EDED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138 tuh suunati grandi "arendusvoi" alla, 75 tuh võeti MKMile Tallinna Strateegiakeskusele konverentsi Green Destinations korraldamiseks</t>
      </text>
    </comment>
    <comment ref="K76" authorId="11" shapeId="0" xr:uid="{8042C6B8-D391-4F94-9266-302C87F0EBC7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TEPist 40 tuh RTE ja 20 tuh MAO</t>
      </text>
    </comment>
    <comment ref="K77" authorId="12" shapeId="0" xr:uid="{CD161EC8-8C29-488A-A12E-FA4A28F64F3A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20 tuhi turismist Külli K</t>
      </text>
    </comment>
    <comment ref="K84" authorId="13" shapeId="0" xr:uid="{7DFF3D93-4B12-4D05-9266-451C44C8F74B}">
      <text>
        <t xml:space="preserve">[Lõimkommentaar]
Teie Exceli versioon võimaldab teil seda lõimkommentaari lugeda, ent kõik sellesse tehtud muudatused eemaldatakse, kui fail avatakse Exceli uuemas versioonis. Lisateavet leiate siit: https://go.microsoft.com/fwlink/?linkid=870924.
Kommentaar:
    75 tuh võeti EISilt MKMile Tallinna Strateegiakeskusele konverentsi Green Destinations korraldamiseks
</t>
      </text>
    </comment>
    <comment ref="K114" authorId="14" shapeId="0" xr:uid="{1FCA0228-CC84-47D8-80BE-D7324F5188EC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48 tuh Viimsi kaldaramp + 70 tuh Ruhnule</t>
      </text>
    </comment>
    <comment ref="K116" authorId="15" shapeId="0" xr:uid="{8A1124C6-D4B4-4F5D-9D1F-E65D0CB8BAED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48 tuh Viimsi kaldaramp + 70 tuh Ruhnule Elroni arvelt</t>
      </text>
    </comment>
  </commentList>
</comments>
</file>

<file path=xl/sharedStrings.xml><?xml version="1.0" encoding="utf-8"?>
<sst xmlns="http://schemas.openxmlformats.org/spreadsheetml/2006/main" count="548" uniqueCount="255">
  <si>
    <t>Majandus- ja Kommunikatsiooniministeeriumi kindlaksmääratud vahendite kulude eelarvest antavad sihtotstabelised ja tegevustoetused</t>
  </si>
  <si>
    <t>Energeetika programm</t>
  </si>
  <si>
    <t>Digiühiskonna programm</t>
  </si>
  <si>
    <t>Teadmussiirde programm</t>
  </si>
  <si>
    <t>Ehituse programm</t>
  </si>
  <si>
    <t>Ettevõtluskeskkonna programm</t>
  </si>
  <si>
    <t>Transpordi konkurentsivõime ja liikuvuse programm</t>
  </si>
  <si>
    <t>Kõigi programmide vahel jagunev</t>
  </si>
  <si>
    <t>Kulud toetustele kokku</t>
  </si>
  <si>
    <t>Toetuse saaja/eesmärk</t>
  </si>
  <si>
    <t>Programmi tegevus - kood</t>
  </si>
  <si>
    <t>Programmi tegevus - nimi</t>
  </si>
  <si>
    <t>Eelarve liik</t>
  </si>
  <si>
    <t>Eelarve objekt</t>
  </si>
  <si>
    <t>Objekti nimi</t>
  </si>
  <si>
    <t>Majanduslik sisu</t>
  </si>
  <si>
    <t>Kinnitatud eelarve 2023</t>
  </si>
  <si>
    <t>Lõplik eelarve 2023</t>
  </si>
  <si>
    <t>Stsenaarium asutuse kulumudelis</t>
  </si>
  <si>
    <t>EELARVE</t>
  </si>
  <si>
    <t/>
  </si>
  <si>
    <t>Periood asutuse kulumudelis</t>
  </si>
  <si>
    <t>Elektrihinna kompenseerimine</t>
  </si>
  <si>
    <t>N10-ELEKTRIHINNA-ABI</t>
  </si>
  <si>
    <t>ENEN0101</t>
  </si>
  <si>
    <t>Elektri- ja gaasivarustuse tagamine</t>
  </si>
  <si>
    <t>20</t>
  </si>
  <si>
    <t>Antud sihtfinantseerimine</t>
  </si>
  <si>
    <t>Gaasihinna kompenseerimine</t>
  </si>
  <si>
    <t>N10-GAASIHINNA-ABI</t>
  </si>
  <si>
    <t>Kaugküttehinna kompenseerimine</t>
  </si>
  <si>
    <t>N10-KAUGKYTTEHINNA-ABI</t>
  </si>
  <si>
    <t>ENEN0103</t>
  </si>
  <si>
    <t>Soojusenergia tõhus tootmine ja ülekanne</t>
  </si>
  <si>
    <t>AS Eesti Varude Keskus</t>
  </si>
  <si>
    <t>ATN10-VARUD</t>
  </si>
  <si>
    <t>ENEN0102</t>
  </si>
  <si>
    <t>Transpordikütuse korraldus ja kütusevarude säilitamine</t>
  </si>
  <si>
    <t>Antud tegevustoetused</t>
  </si>
  <si>
    <t>AS Eesti Varude Keskus kokku</t>
  </si>
  <si>
    <t>Riigi Infokommunikatsiooni SA</t>
  </si>
  <si>
    <t>ATN10-RIKS</t>
  </si>
  <si>
    <t>IYDA0102</t>
  </si>
  <si>
    <t>Digiriigi alusbaasi kindlustamine</t>
  </si>
  <si>
    <t>IN005000</t>
  </si>
  <si>
    <t>Muud investeeringud</t>
  </si>
  <si>
    <t>Antud investeeringutoetus</t>
  </si>
  <si>
    <t>Riigi Infokommunikatsiooni SA kokku</t>
  </si>
  <si>
    <t>AS Eesti Post</t>
  </si>
  <si>
    <t>ATN10-EEPOST</t>
  </si>
  <si>
    <t>IYDA0301</t>
  </si>
  <si>
    <t>Õigusruumi tagamine</t>
  </si>
  <si>
    <t>AS Eesti Post kokku</t>
  </si>
  <si>
    <t>N10-DROONIKESKUS</t>
  </si>
  <si>
    <t>TI020101</t>
  </si>
  <si>
    <t>Ettevõtete innovatsiooni-, digi- ja rohepöörde soodustamine</t>
  </si>
  <si>
    <t>TI020102</t>
  </si>
  <si>
    <t>Teadus- ja tehnoloogiamahuka iduettevõtluse arendamine</t>
  </si>
  <si>
    <t>Toetused teadus- ja arendustegevuseks kokku</t>
  </si>
  <si>
    <t>Ettevõtluse ja Innovatsiooni SA</t>
  </si>
  <si>
    <t>ENEN0201</t>
  </si>
  <si>
    <t>Energiatõhususe suurendamine</t>
  </si>
  <si>
    <t>IN070079</t>
  </si>
  <si>
    <t>Väikeelamute energiatõhususe suurendamin</t>
  </si>
  <si>
    <t>8N10-RE00-ENERGIATOH, 8N10-RE00-VAIKELENER</t>
  </si>
  <si>
    <t>8N10-RE00-KR-HALDUSK</t>
  </si>
  <si>
    <t>IN002000</t>
  </si>
  <si>
    <t>IT investeeringud</t>
  </si>
  <si>
    <t>8N10-RE00-HALDUS</t>
  </si>
  <si>
    <t>8N10-RE00-ENERGIATEA</t>
  </si>
  <si>
    <t>TIEH0102</t>
  </si>
  <si>
    <t>Ehitatud keskkonna ja ehitusvaldkonna kvaliteedi arendamine</t>
  </si>
  <si>
    <t>ATN-KredEx, 8N10-RE00-KODUTOETUS</t>
  </si>
  <si>
    <t>TIEH0201</t>
  </si>
  <si>
    <t>Eluasemepoliitika</t>
  </si>
  <si>
    <t>IN070077</t>
  </si>
  <si>
    <t>Kodutoetus lasterik perede eluasemet par</t>
  </si>
  <si>
    <t>8N10-RE00-KODUTOETUS, 8N10-RE00-LAMMUTUS</t>
  </si>
  <si>
    <t>ATN10-KredEx, 8N10-RE00-KR-HALDUSK</t>
  </si>
  <si>
    <t>IN070100</t>
  </si>
  <si>
    <t>Elukondlik kinnisvara maapiirkondades</t>
  </si>
  <si>
    <t>ATN10-EAS, 8N10-RE00-RRFKM-EAS</t>
  </si>
  <si>
    <t>TIEK0101</t>
  </si>
  <si>
    <t>Ettevõtluse arendamise soodustamine</t>
  </si>
  <si>
    <t>SE000060</t>
  </si>
  <si>
    <t>RRF - tehniline abi</t>
  </si>
  <si>
    <t>8N10-RE00-ERESIDENT, 8N10-RE00-WORKINEST</t>
  </si>
  <si>
    <t>TIEK0102</t>
  </si>
  <si>
    <t>Ettevõtete konkurentsivõime ja ekspordi edendamine</t>
  </si>
  <si>
    <t>8N10-RE00-TURISM, 8N10-RE00-TURISMSF, 8N10-RE00-UUSTURG</t>
  </si>
  <si>
    <t>8N10-RE00-05211</t>
  </si>
  <si>
    <t>TIEK0103</t>
  </si>
  <si>
    <t>Tehnoloogia- ja arendusmahukate investeeringute soodustamine</t>
  </si>
  <si>
    <t>IN005001</t>
  </si>
  <si>
    <t>Suurinvestori investeeringutoetus</t>
  </si>
  <si>
    <t>8N10-RE00-VALISINVES</t>
  </si>
  <si>
    <t>Ettevõtluse ja Innovatsiooni SA kokku</t>
  </si>
  <si>
    <t>AS Metrosert </t>
  </si>
  <si>
    <t>ATN10-METROS, N10-TEADUSARENDUS</t>
  </si>
  <si>
    <t>Antud tegevustoetused (teadus- ja arendustegevus)</t>
  </si>
  <si>
    <t>ATN10-METROS</t>
  </si>
  <si>
    <t>AS Metrosert kokku</t>
  </si>
  <si>
    <t xml:space="preserve">Soonlepa Arenduskeskuse MTÜ </t>
  </si>
  <si>
    <t>ATN10-SOONLE  </t>
  </si>
  <si>
    <t>SE000099</t>
  </si>
  <si>
    <t>Täiendav eraldis</t>
  </si>
  <si>
    <t>Noorte Ettevõtjate Assotsiatsioon MTÜ</t>
  </si>
  <si>
    <t>ATN10-NOORTE</t>
  </si>
  <si>
    <t>ATN10-TARBI</t>
  </si>
  <si>
    <t>Sihtasutus Ida-Viru Ettevõtluskeskus</t>
  </si>
  <si>
    <t>ATN10-VIIKIN </t>
  </si>
  <si>
    <t>Sihtasutus Kukruse Polaarmõis</t>
  </si>
  <si>
    <t>ATN10-VISIT  </t>
  </si>
  <si>
    <t>Täiendavad eraldised kokku</t>
  </si>
  <si>
    <t>MTÜ Maakondlikud Arenduskeskused</t>
  </si>
  <si>
    <t>ATN10-MAK</t>
  </si>
  <si>
    <t>MTÜ Maakondlikud Arenduskeskused kokku</t>
  </si>
  <si>
    <t>Eesti Standardimis- ja Akrediteerimiskeskus MTÜ</t>
  </si>
  <si>
    <t>ATN10-STANDA</t>
  </si>
  <si>
    <t>Eesti Standardimis- ja Akrediteerimiskeskus MTÜ kokku</t>
  </si>
  <si>
    <t>Tartu linn</t>
  </si>
  <si>
    <t>ATN10-TARTU</t>
  </si>
  <si>
    <t>Tartu linn kokku</t>
  </si>
  <si>
    <t>AS Eesti Raudtee</t>
  </si>
  <si>
    <t>ATN10-EVR</t>
  </si>
  <si>
    <t>TRTR0301</t>
  </si>
  <si>
    <t>Raudteetransporditaristu arendamine ja korrashoid</t>
  </si>
  <si>
    <t>IN070059</t>
  </si>
  <si>
    <t>Tln-Tartu rt uuendus kiiruseks 135 km/h</t>
  </si>
  <si>
    <t>IN070061</t>
  </si>
  <si>
    <t>Tapa-Narva rt uuendus kiiruseks 135 km/h</t>
  </si>
  <si>
    <t>AS Eesti Raudtee kokku</t>
  </si>
  <si>
    <t>AS Tallinna Lennujaam</t>
  </si>
  <si>
    <t>ATN10-TALLEN</t>
  </si>
  <si>
    <t>TRTR0303</t>
  </si>
  <si>
    <t>Õhutransporditaristu arendamine ja korrashoid</t>
  </si>
  <si>
    <t>Antud tegevustoetused - julgestus- ja päästeteenistus</t>
  </si>
  <si>
    <t xml:space="preserve">Antud tegevustoetused - regionaalsed lennujaamad </t>
  </si>
  <si>
    <t>AS Tallinna Lennujaam kokku</t>
  </si>
  <si>
    <t>ATN10-PARNU</t>
  </si>
  <si>
    <t>TRTR0304</t>
  </si>
  <si>
    <t>Maanteetransporditaristu arendamine ja korrashoid</t>
  </si>
  <si>
    <t>IN070102</t>
  </si>
  <si>
    <t>Pärnu linnale ühenduste tagamine - sild</t>
  </si>
  <si>
    <t>AS A.L.A.R.A.</t>
  </si>
  <si>
    <t>ATN10-ALARA, WBS: N10-TA-rakendusuurin</t>
  </si>
  <si>
    <t>Antud tegevustoetused (teadus- ja arendustegev)</t>
  </si>
  <si>
    <t>ATN10-ALARA</t>
  </si>
  <si>
    <t xml:space="preserve">Jaguneb kõigi programmi tegevuste vahel </t>
  </si>
  <si>
    <t>AS A.L.A.R.A.  kokku</t>
  </si>
  <si>
    <t>Maanteetransporditaristu arendamise kulud KOVidele</t>
  </si>
  <si>
    <t>ATN10-KOV</t>
  </si>
  <si>
    <t>IN070103</t>
  </si>
  <si>
    <t>Kadrina valla kergliiklustee</t>
  </si>
  <si>
    <t>Maanteetransporditaristu arendamiseks KOVidele kokku</t>
  </si>
  <si>
    <t>Eesti Liinirongid AS</t>
  </si>
  <si>
    <t>ATN10-ELRON</t>
  </si>
  <si>
    <t>TRTR0401</t>
  </si>
  <si>
    <t>Liikuvusteenuse arendamine ja soodustamine</t>
  </si>
  <si>
    <t xml:space="preserve">Antud investeeringutoetus - diiselveeremi liisingmaksed </t>
  </si>
  <si>
    <t xml:space="preserve">Antud tegevustoetused - reisijatevedu raudteel </t>
  </si>
  <si>
    <t>Eesti Liinirongid AS kokku</t>
  </si>
  <si>
    <t>ATN10-VEEOHU</t>
  </si>
  <si>
    <t>KOVidele laevaühendusteks</t>
  </si>
  <si>
    <t>KOVidele laevaühendusteks kokku</t>
  </si>
  <si>
    <t>Antud tegevustoetused - KOVidele laevaühendusteks</t>
  </si>
  <si>
    <t>2023_01</t>
  </si>
  <si>
    <t>EELARVE_ULE</t>
  </si>
  <si>
    <t>ATN10-IDAVIR</t>
  </si>
  <si>
    <t>ATN10-KUKRUS</t>
  </si>
  <si>
    <t>IN000099</t>
  </si>
  <si>
    <t>Täiendavad investeeringutoetused</t>
  </si>
  <si>
    <t>IN070068</t>
  </si>
  <si>
    <t>KOV elamufondi investeeringute toetamine</t>
  </si>
  <si>
    <t>8N10-RE00-VAIKELENER, EELARVE ÜLE LÄHEB TIEHi</t>
  </si>
  <si>
    <t>8N10-RE00-KORTERREK</t>
  </si>
  <si>
    <t>IN070084</t>
  </si>
  <si>
    <t>Korterelamute rekonstrueerimine</t>
  </si>
  <si>
    <t>IN070097</t>
  </si>
  <si>
    <t>Haapsalu raudtee II etapp</t>
  </si>
  <si>
    <t>ATN10-KIK-LEA</t>
  </si>
  <si>
    <t>IN070984</t>
  </si>
  <si>
    <t>LEA2022 Energiaühendused</t>
  </si>
  <si>
    <t>SE000080</t>
  </si>
  <si>
    <t>2022 LEA</t>
  </si>
  <si>
    <t>IYDA0201</t>
  </si>
  <si>
    <t>Riikliku küberturvalisuse korraldamine</t>
  </si>
  <si>
    <t>SE070001</t>
  </si>
  <si>
    <t>Kohalike teede hoid</t>
  </si>
  <si>
    <t>Tallinna Tehnikaülikool</t>
  </si>
  <si>
    <t>Tallinna Tehnikaülikool kokku</t>
  </si>
  <si>
    <t>SR070135</t>
  </si>
  <si>
    <t>IT vajaku kompenseerimine (2)</t>
  </si>
  <si>
    <t xml:space="preserve">Sihtasutus Eesti Rahvusvahelise Arengukoostöö Keskus </t>
  </si>
  <si>
    <t>N10-RAHVUSVAHARENG</t>
  </si>
  <si>
    <t>Sihtasutus Eesti Rahvusvahelise Arengukoostöö Keskus kokku</t>
  </si>
  <si>
    <t>SR070141</t>
  </si>
  <si>
    <t>Võhma-Kahala kergliiklustee rajamine</t>
  </si>
  <si>
    <t>2022. a-st erak ülek vahendid MKMi 23.01.2023 KK nr 4</t>
  </si>
  <si>
    <t>Lisa 8</t>
  </si>
  <si>
    <t>Sisemised muudatused</t>
  </si>
  <si>
    <t>MINISTRI_LIIGENDUS</t>
  </si>
  <si>
    <t>Energiahindade kompenseerimine kokku</t>
  </si>
  <si>
    <t>Elektrilevi OÜ</t>
  </si>
  <si>
    <t>Elektrilevi OÜ kokku</t>
  </si>
  <si>
    <t>Antud sihtfinantseerimine - energia IEA</t>
  </si>
  <si>
    <t>Antud tegevustoetused - halduskulu</t>
  </si>
  <si>
    <t>Antud sihtfin - EIS riiklikud programmid</t>
  </si>
  <si>
    <t>Antud sihtfin - riiklikud programmid - energiateadlikkus</t>
  </si>
  <si>
    <t>Antud sihtfin - riiklikud programmid - lammutus- ja lasterikaste perede kodutoetus</t>
  </si>
  <si>
    <t>Antud sihtfin - abikõlbmatu RRFi KM</t>
  </si>
  <si>
    <t>Antud sihtfin - riiklikud programmid</t>
  </si>
  <si>
    <t>Antud sihtfin - riiklikud programmid (sh turismi tegevused)</t>
  </si>
  <si>
    <t>MTÜ Visit Virumaa</t>
  </si>
  <si>
    <t>Mittetulundusühing Viikingite küla</t>
  </si>
  <si>
    <t>Eesti Tarbijakaitse Liit</t>
  </si>
  <si>
    <t>Antud tegevustoetused (2024. a kultuuripealinn)</t>
  </si>
  <si>
    <t>Pärnu linn</t>
  </si>
  <si>
    <t>Kadrina vald</t>
  </si>
  <si>
    <t>Põhja-Sakala vald</t>
  </si>
  <si>
    <t>Antud investeeringutoetus - juhtumipõhine</t>
  </si>
  <si>
    <t>WBS: N10-TA-reaalajaandm</t>
  </si>
  <si>
    <t>Eesti Rahvusringhääling</t>
  </si>
  <si>
    <t>Eesti Rahvusringhääling kokku</t>
  </si>
  <si>
    <t>Antud tegevustoetused - Droonikeskus</t>
  </si>
  <si>
    <t>Antud tegevustoetused - rakendusuuringute keskus</t>
  </si>
  <si>
    <t>Antud tegevustoetused (teadus- ja arendustegevus, RTE)</t>
  </si>
  <si>
    <t>Euroopa Kosmose Agentuur</t>
  </si>
  <si>
    <t>Euroopa Kosmose Agentuur kokku</t>
  </si>
  <si>
    <t>Antud sihtfin - ESA valikprogrammides osalemine</t>
  </si>
  <si>
    <t>N10-TA-ESA-CERN</t>
  </si>
  <si>
    <t>SA Tallinna Teaduspark Tehnopol</t>
  </si>
  <si>
    <t>SA Tallinna Teaduspark Tehnopol kokku</t>
  </si>
  <si>
    <t>N10-TA-TEHISINTELLEK</t>
  </si>
  <si>
    <t>N10-TA-A-ESTONIA</t>
  </si>
  <si>
    <t>N10-TA-TEADUSMAH.IDU</t>
  </si>
  <si>
    <t>Tartu Ülikool</t>
  </si>
  <si>
    <t>Tartu Ülikool kokku</t>
  </si>
  <si>
    <t>Antud sihtfinantseerimine - erasektori tehisintellekti pilootprojektid</t>
  </si>
  <si>
    <t>Antud sihtfinantseerimine - Accelerate Estonia programm</t>
  </si>
  <si>
    <t>Antud sihtfinantseerimine - teadus- ja tehnoloogiamahukate idude kiirendid ja teised tegevused</t>
  </si>
  <si>
    <t>Antud sihtfinantseerimine - e-DIH rahastamine AI ja robootikaga seotud uurimis- ja arendustegevuseks</t>
  </si>
  <si>
    <t>N10-TA-E-DIH</t>
  </si>
  <si>
    <t>8N10-RE00-05231, 8N10-RE00-ARENDUSVOI, 8N10-RE00-ROHERUP, N10-ESG MEISTRIKLASS - 8N10-RE00-ESG</t>
  </si>
  <si>
    <t>N10-TEADUSARENDUS, N10-TEADUSARENDUS_2</t>
  </si>
  <si>
    <t>N10-TEADUSARENDUS, (N10-UA_MILITAAR on siit välja võetud)</t>
  </si>
  <si>
    <r>
      <t xml:space="preserve">N10-KV MAAPIIRKONDADES, </t>
    </r>
    <r>
      <rPr>
        <sz val="9"/>
        <color rgb="FFFF0000"/>
        <rFont val="Times New Roman"/>
        <family val="1"/>
        <charset val="186"/>
      </rPr>
      <t xml:space="preserve">8N10-RE00-YYRIELAMUD </t>
    </r>
  </si>
  <si>
    <t>Antud sihtfinantseerimine (toetuse saajad selguvad eelarveaasta jooksul)</t>
  </si>
  <si>
    <t>N10-TA-FOOKUS</t>
  </si>
  <si>
    <t>Eesti Tööandjate Keskliit</t>
  </si>
  <si>
    <t>Eesti Tööandjate Keskliit kokku</t>
  </si>
  <si>
    <t>Tallinna Strateegiakeskus</t>
  </si>
  <si>
    <t>Tallinna Strateegiakeskus kokku</t>
  </si>
  <si>
    <t>Antud sihtfin - konverentsi Green Destinations korraldamine</t>
  </si>
  <si>
    <t>ettevõtlus- ja infotehnoloogiaministri ning majandus- ja taristuministri käskkirja "Majandus- ja Kommunikatsiooniministeeriumi ja tema valitsemisala asutuste 2023. a eelarvete kinnitamine"  juurde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</si>
</sst>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color theme="1"/>
      <name val="Arial"/>
      <family val="2"/>
      <charset val="186"/>
    </font>
    <font>
      <sz val="9"/>
      <name val="Times New Roman"/>
      <family val="1"/>
      <charset val="186"/>
    </font>
    <font>
      <i/>
      <u/>
      <sz val="9"/>
      <name val="Times New Roman"/>
      <family val="1"/>
      <charset val="186"/>
    </font>
    <font>
      <sz val="11"/>
      <color rgb="FFFFFFFF"/>
      <name val="Calibri"/>
      <family val="2"/>
      <scheme val="minor"/>
    </font>
    <font>
      <i/>
      <sz val="10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0"/>
      <color rgb="FF333333"/>
      <name val="Times New Roman"/>
      <family val="1"/>
      <charset val="186"/>
    </font>
    <font>
      <b/>
      <sz val="9"/>
      <color indexed="8"/>
      <name val="Times New Roman"/>
      <family val="1"/>
      <charset val="186"/>
    </font>
    <font>
      <sz val="10"/>
      <color rgb="FF333333"/>
      <name val="Times New Roman"/>
      <family val="1"/>
      <charset val="186"/>
    </font>
    <font>
      <sz val="10"/>
      <color rgb="FF202124"/>
      <name val="Times New Roman"/>
      <family val="1"/>
      <charset val="186"/>
    </font>
    <font>
      <b/>
      <sz val="10"/>
      <color rgb="FF202124"/>
      <name val="Times New Roman"/>
      <family val="1"/>
      <charset val="186"/>
    </font>
    <font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8"/>
      <name val="Calibri"/>
      <family val="2"/>
      <scheme val="minor"/>
    </font>
    <font>
      <sz val="9"/>
      <color theme="1"/>
      <name val="Times New Roman"/>
      <family val="1"/>
      <charset val="186"/>
    </font>
    <font>
      <sz val="9"/>
      <color indexed="8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9"/>
      <color rgb="FF333333"/>
      <name val="Times New Roman"/>
      <family val="1"/>
      <charset val="186"/>
    </font>
    <font>
      <sz val="9"/>
      <color rgb="FF202124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9"/>
      <color rgb="FFFF000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12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3" fontId="6" fillId="0" borderId="0" xfId="1" applyNumberFormat="1" applyFont="1" applyAlignment="1">
      <alignment horizontal="right" wrapText="1"/>
    </xf>
    <xf numFmtId="3" fontId="6" fillId="0" borderId="0" xfId="1" applyNumberFormat="1" applyFont="1" applyAlignment="1" applyProtection="1">
      <alignment horizontal="right"/>
      <protection hidden="1"/>
    </xf>
    <xf numFmtId="0" fontId="0" fillId="0" borderId="0" xfId="0" applyAlignment="1">
      <alignment wrapText="1"/>
    </xf>
    <xf numFmtId="3" fontId="7" fillId="0" borderId="0" xfId="1" applyNumberFormat="1" applyFont="1" applyAlignment="1">
      <alignment horizontal="right" wrapText="1"/>
    </xf>
    <xf numFmtId="3" fontId="7" fillId="0" borderId="0" xfId="1" applyNumberFormat="1" applyFont="1" applyAlignment="1">
      <alignment wrapText="1"/>
    </xf>
    <xf numFmtId="0" fontId="4" fillId="2" borderId="1" xfId="0" applyFont="1" applyFill="1" applyBorder="1" applyAlignment="1">
      <alignment wrapText="1"/>
    </xf>
    <xf numFmtId="0" fontId="0" fillId="0" borderId="1" xfId="0" applyBorder="1"/>
    <xf numFmtId="0" fontId="11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3" fontId="3" fillId="3" borderId="1" xfId="0" applyNumberFormat="1" applyFont="1" applyFill="1" applyBorder="1" applyAlignment="1">
      <alignment horizontal="left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3" fontId="2" fillId="0" borderId="1" xfId="0" applyNumberFormat="1" applyFont="1" applyBorder="1"/>
    <xf numFmtId="0" fontId="12" fillId="2" borderId="1" xfId="0" applyFont="1" applyFill="1" applyBorder="1"/>
    <xf numFmtId="0" fontId="12" fillId="2" borderId="1" xfId="0" applyFont="1" applyFill="1" applyBorder="1" applyAlignment="1">
      <alignment wrapText="1"/>
    </xf>
    <xf numFmtId="0" fontId="2" fillId="2" borderId="1" xfId="0" applyFont="1" applyFill="1" applyBorder="1"/>
    <xf numFmtId="3" fontId="4" fillId="2" borderId="1" xfId="0" applyNumberFormat="1" applyFont="1" applyFill="1" applyBorder="1" applyAlignment="1">
      <alignment horizontal="right"/>
    </xf>
    <xf numFmtId="0" fontId="13" fillId="0" borderId="1" xfId="0" applyFont="1" applyBorder="1"/>
    <xf numFmtId="0" fontId="3" fillId="0" borderId="0" xfId="0" applyFont="1"/>
    <xf numFmtId="0" fontId="11" fillId="2" borderId="1" xfId="0" applyFont="1" applyFill="1" applyBorder="1"/>
    <xf numFmtId="3" fontId="3" fillId="2" borderId="1" xfId="0" applyNumberFormat="1" applyFont="1" applyFill="1" applyBorder="1"/>
    <xf numFmtId="0" fontId="14" fillId="0" borderId="1" xfId="0" applyFont="1" applyBorder="1" applyAlignment="1">
      <alignment horizontal="left" wrapText="1"/>
    </xf>
    <xf numFmtId="0" fontId="16" fillId="0" borderId="1" xfId="0" applyFont="1" applyBorder="1"/>
    <xf numFmtId="0" fontId="4" fillId="2" borderId="1" xfId="0" applyFont="1" applyFill="1" applyBorder="1"/>
    <xf numFmtId="0" fontId="18" fillId="2" borderId="1" xfId="0" applyFont="1" applyFill="1" applyBorder="1" applyAlignment="1">
      <alignment vertical="center"/>
    </xf>
    <xf numFmtId="0" fontId="3" fillId="2" borderId="3" xfId="0" applyFont="1" applyFill="1" applyBorder="1"/>
    <xf numFmtId="0" fontId="3" fillId="2" borderId="4" xfId="0" applyFont="1" applyFill="1" applyBorder="1"/>
    <xf numFmtId="0" fontId="18" fillId="2" borderId="1" xfId="0" applyFont="1" applyFill="1" applyBorder="1"/>
    <xf numFmtId="0" fontId="18" fillId="2" borderId="4" xfId="0" applyFont="1" applyFill="1" applyBorder="1"/>
    <xf numFmtId="0" fontId="18" fillId="2" borderId="2" xfId="0" applyFont="1" applyFill="1" applyBorder="1"/>
    <xf numFmtId="0" fontId="18" fillId="2" borderId="3" xfId="0" applyFont="1" applyFill="1" applyBorder="1"/>
    <xf numFmtId="3" fontId="3" fillId="2" borderId="5" xfId="0" applyNumberFormat="1" applyFont="1" applyFill="1" applyBorder="1"/>
    <xf numFmtId="0" fontId="2" fillId="2" borderId="1" xfId="0" applyFont="1" applyFill="1" applyBorder="1" applyAlignment="1">
      <alignment wrapText="1"/>
    </xf>
    <xf numFmtId="3" fontId="3" fillId="2" borderId="1" xfId="0" applyNumberFormat="1" applyFont="1" applyFill="1" applyBorder="1" applyAlignment="1">
      <alignment wrapText="1"/>
    </xf>
    <xf numFmtId="0" fontId="0" fillId="0" borderId="0" xfId="0" applyAlignment="1">
      <alignment horizontal="left"/>
    </xf>
    <xf numFmtId="0" fontId="3" fillId="3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9" fillId="0" borderId="1" xfId="2" applyFont="1" applyBorder="1" applyAlignment="1">
      <alignment vertical="center" wrapText="1"/>
    </xf>
    <xf numFmtId="0" fontId="9" fillId="0" borderId="1" xfId="2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3" borderId="1" xfId="2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9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3" fontId="16" fillId="0" borderId="1" xfId="0" applyNumberFormat="1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3" fontId="10" fillId="0" borderId="1" xfId="2" applyNumberFormat="1" applyFont="1" applyBorder="1" applyAlignment="1">
      <alignment horizontal="center" vertical="center" wrapText="1"/>
    </xf>
    <xf numFmtId="3" fontId="17" fillId="0" borderId="1" xfId="0" applyNumberFormat="1" applyFont="1" applyBorder="1" applyAlignment="1">
      <alignment vertical="center"/>
    </xf>
    <xf numFmtId="0" fontId="4" fillId="3" borderId="0" xfId="0" applyFont="1" applyFill="1"/>
    <xf numFmtId="0" fontId="16" fillId="0" borderId="0" xfId="0" applyFont="1" applyAlignment="1">
      <alignment vertical="center"/>
    </xf>
    <xf numFmtId="0" fontId="1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21" fillId="0" borderId="1" xfId="0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21" fillId="0" borderId="4" xfId="0" applyFont="1" applyBorder="1" applyAlignment="1">
      <alignment vertical="center"/>
    </xf>
    <xf numFmtId="0" fontId="3" fillId="3" borderId="1" xfId="0" applyFont="1" applyFill="1" applyBorder="1"/>
    <xf numFmtId="0" fontId="22" fillId="0" borderId="0" xfId="0" applyFont="1" applyAlignment="1">
      <alignment wrapText="1"/>
    </xf>
    <xf numFmtId="0" fontId="23" fillId="2" borderId="1" xfId="0" applyFont="1" applyFill="1" applyBorder="1" applyAlignment="1">
      <alignment vertical="center" wrapText="1"/>
    </xf>
    <xf numFmtId="0" fontId="24" fillId="2" borderId="1" xfId="0" applyFont="1" applyFill="1" applyBorder="1" applyAlignment="1">
      <alignment wrapText="1"/>
    </xf>
    <xf numFmtId="0" fontId="25" fillId="4" borderId="1" xfId="0" applyFont="1" applyFill="1" applyBorder="1" applyAlignment="1">
      <alignment horizontal="left" wrapText="1"/>
    </xf>
    <xf numFmtId="0" fontId="22" fillId="4" borderId="1" xfId="0" applyFont="1" applyFill="1" applyBorder="1" applyAlignment="1">
      <alignment wrapText="1"/>
    </xf>
    <xf numFmtId="0" fontId="23" fillId="2" borderId="1" xfId="0" applyFont="1" applyFill="1" applyBorder="1" applyAlignment="1">
      <alignment wrapText="1"/>
    </xf>
    <xf numFmtId="0" fontId="22" fillId="4" borderId="1" xfId="0" applyFont="1" applyFill="1" applyBorder="1" applyAlignment="1">
      <alignment vertical="center" wrapText="1"/>
    </xf>
    <xf numFmtId="0" fontId="12" fillId="2" borderId="2" xfId="0" applyFont="1" applyFill="1" applyBorder="1"/>
    <xf numFmtId="0" fontId="2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26" fillId="2" borderId="1" xfId="0" applyFont="1" applyFill="1" applyBorder="1" applyAlignment="1">
      <alignment wrapText="1"/>
    </xf>
    <xf numFmtId="0" fontId="25" fillId="4" borderId="1" xfId="0" applyFont="1" applyFill="1" applyBorder="1" applyAlignment="1">
      <alignment horizontal="left" vertical="center" wrapText="1"/>
    </xf>
    <xf numFmtId="0" fontId="26" fillId="2" borderId="2" xfId="0" applyFont="1" applyFill="1" applyBorder="1"/>
    <xf numFmtId="0" fontId="22" fillId="0" borderId="1" xfId="0" applyFont="1" applyBorder="1" applyAlignment="1">
      <alignment wrapText="1"/>
    </xf>
    <xf numFmtId="0" fontId="22" fillId="4" borderId="0" xfId="0" applyFont="1" applyFill="1" applyAlignment="1">
      <alignment wrapText="1"/>
    </xf>
    <xf numFmtId="0" fontId="6" fillId="4" borderId="1" xfId="0" applyFont="1" applyFill="1" applyBorder="1" applyAlignment="1">
      <alignment horizontal="left" vertical="center" wrapText="1"/>
    </xf>
    <xf numFmtId="49" fontId="22" fillId="4" borderId="0" xfId="0" applyNumberFormat="1" applyFont="1" applyFill="1" applyAlignment="1">
      <alignment vertical="center" wrapText="1"/>
    </xf>
    <xf numFmtId="0" fontId="3" fillId="2" borderId="0" xfId="0" applyFont="1" applyFill="1"/>
    <xf numFmtId="3" fontId="3" fillId="0" borderId="1" xfId="0" applyNumberFormat="1" applyFont="1" applyBorder="1" applyAlignment="1">
      <alignment vertical="center"/>
    </xf>
    <xf numFmtId="0" fontId="19" fillId="0" borderId="1" xfId="0" applyFont="1" applyBorder="1" applyAlignment="1">
      <alignment horizontal="left" vertical="center"/>
    </xf>
    <xf numFmtId="0" fontId="27" fillId="4" borderId="1" xfId="0" applyFont="1" applyFill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vertical="center"/>
    </xf>
    <xf numFmtId="3" fontId="4" fillId="2" borderId="1" xfId="0" applyNumberFormat="1" applyFont="1" applyFill="1" applyBorder="1"/>
    <xf numFmtId="0" fontId="4" fillId="0" borderId="0" xfId="0" applyFont="1"/>
    <xf numFmtId="0" fontId="6" fillId="0" borderId="1" xfId="0" applyFont="1" applyBorder="1" applyAlignment="1">
      <alignment vertical="center" wrapText="1"/>
    </xf>
    <xf numFmtId="0" fontId="4" fillId="0" borderId="0" xfId="0" applyFont="1" applyAlignment="1">
      <alignment horizontal="left" wrapText="1"/>
    </xf>
    <xf numFmtId="3" fontId="6" fillId="0" borderId="0" xfId="1" applyNumberFormat="1" applyFont="1" applyAlignment="1">
      <alignment horizontal="right" wrapText="1"/>
    </xf>
    <xf numFmtId="0" fontId="15" fillId="2" borderId="1" xfId="0" applyFont="1" applyFill="1" applyBorder="1" applyAlignment="1">
      <alignment horizontal="left" wrapText="1"/>
    </xf>
    <xf numFmtId="0" fontId="6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right" wrapText="1"/>
    </xf>
    <xf numFmtId="0" fontId="4" fillId="2" borderId="4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 wrapText="1"/>
    </xf>
  </cellXfs>
  <cellStyles count="3">
    <cellStyle name="Normaallaad" xfId="0" builtinId="0"/>
    <cellStyle name="Normaallaad 2" xfId="1" xr:uid="{68529AA7-28B5-44F1-A5C6-F2AD667E0CEB}"/>
    <cellStyle name="Normaallaad 4" xfId="2" xr:uid="{5104368E-7262-4C13-9D11-921B341511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Helena Siemann" id="{F3BE7C54-A304-4D24-8A8E-2EECB78392B9}" userId="S::helena.siemann@mkm.ee::a2a5646e-d671-4de3-8c70-452613050e74" providerId="AD"/>
  <person displayName="Krista Fazijev" id="{8EA2B3BE-C3C1-457E-86B0-0691EE3AF091}" userId="S::krista.fazijev@mkm.ee::87d024f3-374d-4c61-833f-1dd39a9c49f4" providerId="AD"/>
</personList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28" dT="2023-01-24T06:59:31.94" personId="{F3BE7C54-A304-4D24-8A8E-2EECB78392B9}" id="{8CB6B49E-B3BF-4163-89D6-C428EFD495EC}">
    <text>Suunati RIKSi tegev toetusesse</text>
  </threadedComment>
  <threadedComment ref="K29" dT="2023-01-24T06:59:17.31" personId="{F3BE7C54-A304-4D24-8A8E-2EECB78392B9}" id="{7752C26D-A5D3-4720-8535-772C39D0802F}">
    <text>RIKSi inv toetuste arvelt</text>
  </threadedComment>
  <threadedComment ref="H35" dT="2023-01-24T13:09:39.84" personId="{F3BE7C54-A304-4D24-8A8E-2EECB78392B9}" id="{2F86FC18-0532-4E7E-83F4-ABD1B1EA5979}">
    <text>Sh ESA ja CERNi liikmemaksud 1,9 M, mis ületavad RO maksude eelarvet</text>
  </threadedComment>
  <threadedComment ref="K47" dT="2023-01-24T12:46:34.74" personId="{F3BE7C54-A304-4D24-8A8E-2EECB78392B9}" id="{D7F75D93-67E4-4CEE-A797-8AD0BA1764D6}">
    <text>Metroserdile</text>
  </threadedComment>
  <threadedComment ref="K48" dT="2023-01-24T12:20:50.82" personId="{F3BE7C54-A304-4D24-8A8E-2EECB78392B9}" id="{B8042C57-692D-40B2-88CC-09320E55163A}">
    <text>+367 tuh LifeSaver EISile + 20,1 M EISile jt laiali jagatud - 1 M inv toetustest juurde lisatud - 240 tuh Tööandjate Keskliidule</text>
  </threadedComment>
  <threadedComment ref="K49" dT="2023-01-24T14:48:58.56" personId="{F3BE7C54-A304-4D24-8A8E-2EECB78392B9}" id="{006029BA-D35F-4347-9D31-5B9D2840CCD4}">
    <text xml:space="preserve">1 M inv toetust suunasin TA tegev toetustesse, sest kasutatakse tegev toetusena </text>
  </threadedComment>
  <threadedComment ref="I50" dT="2023-01-24T12:38:39.45" personId="{F3BE7C54-A304-4D24-8A8E-2EECB78392B9}" id="{6C63ABCA-2462-419C-A458-F70266E65362}">
    <text>UA_militaar kulud ei ole toetus, vaid MKMi teg kulud, seetõttu võtsin siit 100 tuh maha</text>
  </threadedComment>
  <threadedComment ref="K56" dT="2023-01-24T08:39:12.35" personId="{F3BE7C54-A304-4D24-8A8E-2EECB78392B9}" id="{F4D35221-AA24-493D-95B1-8C342290F399}">
    <text>-138 tuh grandilt "uusturg"-367 tuh LifeSaver EISile - 7 001,5 tuh EISile TA "üldpotist"</text>
  </threadedComment>
  <threadedComment ref="B64" dT="2023-01-13T13:46:23.16" personId="{8EA2B3BE-C3C1-457E-86B0-0691EE3AF091}" id="{4B1A5439-9188-40C6-8CDC-3D4FBF6C0D55}">
    <text xml:space="preserve">Et Kristale jääks märk maha - Elukondlikule kinnisvarale maapiirkondades ei tule eraldi grandikoodi, seal jätkame koodi 8N10-RE00-YYRIELAMUD kasutamist.
Seni oleme grandi 8N10-RE00-YYRIELAMUD juures kasutanud IN koodi IN070068 - Üürielamufondi loomine, kui nüüd kasutame ka IN koodi IN070100, mis käib kaasas elukondliku kinnisvaraga maapiirkondades.
Kulud suunduvad samasse teenusesse ehituse programmis, nagu üürielamufondi loomisegi kulud.
</text>
  </threadedComment>
  <threadedComment ref="B65" dT="2023-01-13T13:46:23.16" personId="{8EA2B3BE-C3C1-457E-86B0-0691EE3AF091}" id="{AC121974-78A6-4C84-8E55-0CE0A193D435}">
    <text xml:space="preserve">Et Kristale jääks märk maha - Elukondlikule kinnisvarale maapiirkondades ei tule eraldi grandikoodi, seal jätkame koodi 8N10-RE00-YYRIELAMUD kasutamist.
Seni oleme grandi 8N10-RE00-YYRIELAMUD juures kasutanud IN koodi IN070068 - Üürielamufondi loomine, kui nüüd kasutame ka IN koodi IN070100, mis käib kaasas elukondliku kinnisvaraga maapiirkondades.
Kulud suunduvad samasse teenusesse ehituse programmis, nagu üürielamufondi loomisegi kulud.
</text>
  </threadedComment>
  <threadedComment ref="K70" dT="2023-01-24T07:13:26.11" personId="{F3BE7C54-A304-4D24-8A8E-2EECB78392B9}" id="{BF775157-8E5A-4D1C-A183-396DB008EDED}">
    <text>138 tuh suunati grandi "arendusvoi" alla, 75 tuh võeti MKMile Tallinna Strateegiakeskusele konverentsi Green Destinations korraldamiseks</text>
  </threadedComment>
  <threadedComment ref="K76" dT="2023-01-24T12:49:43.06" personId="{F3BE7C54-A304-4D24-8A8E-2EECB78392B9}" id="{8042C6B8-D391-4F94-9266-302C87F0EBC7}">
    <text>TEPist 40 tuh RTE ja 20 tuh MAO</text>
  </threadedComment>
  <threadedComment ref="K77" dT="2023-01-24T12:50:05.15" personId="{F3BE7C54-A304-4D24-8A8E-2EECB78392B9}" id="{CD161EC8-8C29-488A-A12E-FA4A28F64F3A}">
    <text>20 tuhi turismist Külli K</text>
  </threadedComment>
  <threadedComment ref="K84" dT="2023-01-27T10:37:48.43" personId="{F3BE7C54-A304-4D24-8A8E-2EECB78392B9}" id="{7DFF3D93-4B12-4D05-9266-451C44C8F74B}">
    <text xml:space="preserve">75 tuh võeti EISilt MKMile Tallinna Strateegiakeskusele konverentsi Green Destinations korraldamiseks
</text>
  </threadedComment>
  <threadedComment ref="K114" dT="2023-01-24T07:08:32.92" personId="{F3BE7C54-A304-4D24-8A8E-2EECB78392B9}" id="{1FCA0228-CC84-47D8-80BE-D7324F5188EC}">
    <text>48 tuh Viimsi kaldaramp + 70 tuh Ruhnule</text>
  </threadedComment>
  <threadedComment ref="K116" dT="2023-01-24T07:08:41.98" personId="{F3BE7C54-A304-4D24-8A8E-2EECB78392B9}" id="{8A1124C6-D4B4-4F5D-9D1F-E65D0CB8BAED}">
    <text>48 tuh Viimsi kaldaramp + 70 tuh Ruhnule Elroni arvelt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6C644-7FEA-4119-BB74-5BC0BECC31FA}">
  <sheetPr>
    <pageSetUpPr fitToPage="1"/>
  </sheetPr>
  <dimension ref="A1:L120"/>
  <sheetViews>
    <sheetView tabSelected="1" zoomScale="90" zoomScaleNormal="90" workbookViewId="0">
      <selection activeCell="H2" sqref="H2:L3"/>
    </sheetView>
  </sheetViews>
  <sheetFormatPr defaultRowHeight="14.4" outlineLevelCol="1" x14ac:dyDescent="0.3"/>
  <cols>
    <col min="1" max="1" width="25.88671875" customWidth="1"/>
    <col min="2" max="2" width="26.44140625" style="78" hidden="1" customWidth="1" outlineLevel="1"/>
    <col min="3" max="3" width="10.44140625" customWidth="1" collapsed="1"/>
    <col min="4" max="4" width="24.33203125" style="7" customWidth="1"/>
    <col min="5" max="5" width="9.6640625" bestFit="1" customWidth="1"/>
    <col min="6" max="6" width="9.44140625" customWidth="1"/>
    <col min="7" max="7" width="36.109375" customWidth="1"/>
    <col min="8" max="8" width="32.88671875" customWidth="1"/>
    <col min="9" max="9" width="13.6640625" customWidth="1"/>
    <col min="10" max="10" width="16.33203125" customWidth="1"/>
    <col min="11" max="11" width="13.6640625" customWidth="1"/>
    <col min="12" max="12" width="14.109375" style="40" customWidth="1"/>
  </cols>
  <sheetData>
    <row r="1" spans="1:12" s="1" customFormat="1" ht="13.2" x14ac:dyDescent="0.25">
      <c r="B1" s="78"/>
      <c r="D1" s="2"/>
      <c r="L1" s="3" t="s">
        <v>199</v>
      </c>
    </row>
    <row r="2" spans="1:12" s="1" customFormat="1" ht="13.2" customHeight="1" x14ac:dyDescent="0.25">
      <c r="B2" s="78"/>
      <c r="D2" s="2"/>
      <c r="H2" s="109" t="s">
        <v>254</v>
      </c>
      <c r="I2" s="109"/>
      <c r="J2" s="109"/>
      <c r="K2" s="109"/>
      <c r="L2" s="109"/>
    </row>
    <row r="3" spans="1:12" s="1" customFormat="1" ht="13.2" customHeight="1" x14ac:dyDescent="0.25">
      <c r="B3" s="78"/>
      <c r="D3" s="2"/>
      <c r="G3" s="2"/>
      <c r="H3" s="109"/>
      <c r="I3" s="109"/>
      <c r="J3" s="109"/>
      <c r="K3" s="109"/>
      <c r="L3" s="109"/>
    </row>
    <row r="4" spans="1:12" s="1" customFormat="1" ht="13.2" x14ac:dyDescent="0.25">
      <c r="B4" s="78"/>
      <c r="D4" s="2"/>
      <c r="L4" s="4"/>
    </row>
    <row r="5" spans="1:12" s="1" customFormat="1" ht="13.2" x14ac:dyDescent="0.25">
      <c r="A5" s="105" t="s">
        <v>0</v>
      </c>
      <c r="B5" s="105"/>
      <c r="C5" s="105"/>
      <c r="D5" s="105"/>
      <c r="L5" s="4"/>
    </row>
    <row r="6" spans="1:12" x14ac:dyDescent="0.3">
      <c r="A6" s="105"/>
      <c r="B6" s="105"/>
      <c r="C6" s="105"/>
      <c r="D6" s="105"/>
      <c r="H6" s="5" t="s">
        <v>1</v>
      </c>
      <c r="I6" s="6">
        <f>SUMIF($C$18:$C$120,"ENEN*",I$18:I$120)</f>
        <v>-106923863.71327285</v>
      </c>
      <c r="J6" s="6">
        <f>SUMIF($C$18:$C$120,"ENEN*",J$18:J$120)</f>
        <v>-1450000</v>
      </c>
      <c r="K6" s="6">
        <f>SUMIF($C$18:$C$120,"ENEN*",K$18:K$120)</f>
        <v>0</v>
      </c>
      <c r="L6" s="6">
        <f>SUMIF($C$18:$C$120,"ENEN*",L$18:L$120)</f>
        <v>-108373863.71327285</v>
      </c>
    </row>
    <row r="7" spans="1:12" x14ac:dyDescent="0.3">
      <c r="H7" s="5" t="s">
        <v>2</v>
      </c>
      <c r="I7" s="6">
        <f>SUMIF($C$18:$C$120,"IYDA*",I$18:I$120)</f>
        <v>-4685736.0009700004</v>
      </c>
      <c r="J7" s="6">
        <f>SUMIF($C$18:$C$120,"IYDA*",J$18:J$120)</f>
        <v>-198284</v>
      </c>
      <c r="K7" s="6">
        <f>SUMIF($C$18:$C$120,"IYDA*",K$18:K$120)</f>
        <v>0</v>
      </c>
      <c r="L7" s="6">
        <f>SUMIF($C$18:$C$120,"IYDA*",L$18:L$120)</f>
        <v>-4884020.0009700004</v>
      </c>
    </row>
    <row r="8" spans="1:12" x14ac:dyDescent="0.3">
      <c r="H8" s="5" t="s">
        <v>3</v>
      </c>
      <c r="I8" s="6">
        <f>SUMIF($C$18:$C$120,"TI02*",I$18:I$120)</f>
        <v>-49024852.300591998</v>
      </c>
      <c r="J8" s="6">
        <f>SUMIF($C$18:$C$120,"TI02*",J$18:J$120)</f>
        <v>0</v>
      </c>
      <c r="K8" s="6">
        <f>SUMIF($C$18:$C$120,"TI02*",K$18:K$120)</f>
        <v>-138000</v>
      </c>
      <c r="L8" s="6">
        <f>SUMIF($C$18:$C$120,"TI02*",L$18:L$120)</f>
        <v>-49162852.300591998</v>
      </c>
    </row>
    <row r="9" spans="1:12" x14ac:dyDescent="0.3">
      <c r="H9" s="5" t="s">
        <v>4</v>
      </c>
      <c r="I9" s="6">
        <f>SUMIF($C$18:$C$120,"TIEH*",I$18:I$120)</f>
        <v>-9273346.2856971435</v>
      </c>
      <c r="J9" s="6">
        <f>SUMIF($C$18:$C$120,"TIEH*",J$18:J$120)</f>
        <v>-18352754</v>
      </c>
      <c r="K9" s="6">
        <f>SUMIF($C$18:$C$120,"TIEH*",K$18:K$120)</f>
        <v>0</v>
      </c>
      <c r="L9" s="6">
        <f>SUMIF($C$18:$C$120,"TIEH*",L$18:L$120)</f>
        <v>-27626100.28569714</v>
      </c>
    </row>
    <row r="10" spans="1:12" x14ac:dyDescent="0.3">
      <c r="D10" s="1"/>
      <c r="H10" s="5" t="s">
        <v>5</v>
      </c>
      <c r="I10" s="6">
        <f>SUMIF($C$18:$C$120,"TIEK*",I$18:I$120)</f>
        <v>-33832879</v>
      </c>
      <c r="J10" s="6">
        <f>SUMIF($C$18:$C$120,"TIEK*",J$18:J$120)</f>
        <v>-15000</v>
      </c>
      <c r="K10" s="6">
        <f>SUMIF($C$18:$C$120,"TIEK*",K$18:K$120)</f>
        <v>118000</v>
      </c>
      <c r="L10" s="6">
        <f>SUMIF($C$18:$C$120,"TIEK*",L$18:L$120)</f>
        <v>-33729879</v>
      </c>
    </row>
    <row r="11" spans="1:12" x14ac:dyDescent="0.3">
      <c r="G11" s="106" t="s">
        <v>6</v>
      </c>
      <c r="H11" s="106"/>
      <c r="I11" s="6">
        <f>SUMIF($C$18:$C$120,"TRTR*",I$18:I$120)</f>
        <v>-57043512.000080004</v>
      </c>
      <c r="J11" s="6">
        <f>SUMIF($C$18:$C$120,"TRTR*",J$18:J$120)</f>
        <v>-5876362</v>
      </c>
      <c r="K11" s="6">
        <f>SUMIF($C$18:$C$120,"TRTR*",K$18:K$120)</f>
        <v>0</v>
      </c>
      <c r="L11" s="6">
        <f>SUMIF($C$18:$C$120,"TRTR*",L$18:L$120)</f>
        <v>-62919874.000080004</v>
      </c>
    </row>
    <row r="12" spans="1:12" x14ac:dyDescent="0.3">
      <c r="H12" s="5" t="s">
        <v>7</v>
      </c>
      <c r="I12" s="6">
        <f>SUMIF($C$18:$C$120,"Jaguneb*",I$18:I$120)</f>
        <v>-468000</v>
      </c>
      <c r="J12" s="6">
        <f>SUMIF($C$18:$C$120,"Jaguneb*",J$18:J$120)</f>
        <v>0</v>
      </c>
      <c r="K12" s="6">
        <f>SUMIF($C$18:$C$120,"Jaguneb*",K$18:K$120)</f>
        <v>0</v>
      </c>
      <c r="L12" s="6">
        <f>SUMIF($C$18:$C$120,"Jaguneb*",L$18:L$120)</f>
        <v>-468000</v>
      </c>
    </row>
    <row r="13" spans="1:12" x14ac:dyDescent="0.3">
      <c r="H13" s="8" t="s">
        <v>8</v>
      </c>
      <c r="I13" s="9">
        <f>SUM(I6:I12)</f>
        <v>-261252189.30061197</v>
      </c>
      <c r="J13" s="9">
        <f>SUM(J6:J12)</f>
        <v>-25892400</v>
      </c>
      <c r="K13" s="9">
        <f>SUM(K6:K12)</f>
        <v>-20000</v>
      </c>
      <c r="L13" s="9">
        <f>SUM(L6:L12)</f>
        <v>-287164589.30061197</v>
      </c>
    </row>
    <row r="14" spans="1:12" s="54" customFormat="1" ht="59.4" customHeight="1" x14ac:dyDescent="0.3">
      <c r="A14" s="55" t="s">
        <v>9</v>
      </c>
      <c r="B14" s="79"/>
      <c r="C14" s="55" t="s">
        <v>10</v>
      </c>
      <c r="D14" s="55" t="s">
        <v>11</v>
      </c>
      <c r="E14" s="56" t="s">
        <v>12</v>
      </c>
      <c r="F14" s="55" t="s">
        <v>13</v>
      </c>
      <c r="G14" s="55" t="s">
        <v>14</v>
      </c>
      <c r="H14" s="55" t="s">
        <v>15</v>
      </c>
      <c r="I14" s="55" t="s">
        <v>16</v>
      </c>
      <c r="J14" s="55" t="s">
        <v>198</v>
      </c>
      <c r="K14" s="46" t="s">
        <v>200</v>
      </c>
      <c r="L14" s="57" t="s">
        <v>17</v>
      </c>
    </row>
    <row r="15" spans="1:12" s="54" customFormat="1" ht="26.4" x14ac:dyDescent="0.3">
      <c r="A15" s="47"/>
      <c r="B15" s="86"/>
      <c r="D15" s="64"/>
      <c r="E15" s="65"/>
      <c r="F15" s="47"/>
      <c r="G15" s="50"/>
      <c r="H15" s="51" t="s">
        <v>18</v>
      </c>
      <c r="I15" s="66" t="s">
        <v>19</v>
      </c>
      <c r="J15" s="66" t="s">
        <v>167</v>
      </c>
      <c r="K15" s="66" t="s">
        <v>201</v>
      </c>
      <c r="L15" s="53"/>
    </row>
    <row r="16" spans="1:12" s="54" customFormat="1" ht="19.2" customHeight="1" x14ac:dyDescent="0.25">
      <c r="A16" s="47"/>
      <c r="B16" s="91"/>
      <c r="C16" s="47" t="s">
        <v>20</v>
      </c>
      <c r="D16" s="48" t="s">
        <v>20</v>
      </c>
      <c r="E16" s="49" t="s">
        <v>20</v>
      </c>
      <c r="F16" s="47"/>
      <c r="G16" s="50"/>
      <c r="H16" s="51" t="s">
        <v>21</v>
      </c>
      <c r="I16" s="52">
        <v>2023</v>
      </c>
      <c r="J16" s="52" t="s">
        <v>166</v>
      </c>
      <c r="K16" s="52" t="s">
        <v>166</v>
      </c>
      <c r="L16" s="53"/>
    </row>
    <row r="17" spans="1:12" s="1" customFormat="1" ht="13.2" x14ac:dyDescent="0.25">
      <c r="A17" s="12"/>
      <c r="B17" s="80"/>
      <c r="C17" s="13"/>
      <c r="D17" s="14"/>
      <c r="E17" s="13"/>
      <c r="F17" s="13"/>
      <c r="G17" s="13"/>
      <c r="H17" s="13"/>
      <c r="I17" s="15">
        <f>SUBTOTAL(9,I18:I120)</f>
        <v>-261252189.30061203</v>
      </c>
      <c r="J17" s="15">
        <f>SUBTOTAL(9,J18:J120)</f>
        <v>-25892400</v>
      </c>
      <c r="K17" s="15">
        <f>SUBTOTAL(9,K18:K120)</f>
        <v>-20000</v>
      </c>
      <c r="L17" s="15">
        <f>SUBTOTAL(9,L18:L120)</f>
        <v>-287164589.30061203</v>
      </c>
    </row>
    <row r="18" spans="1:12" s="1" customFormat="1" ht="26.4" x14ac:dyDescent="0.25">
      <c r="A18" s="16" t="s">
        <v>22</v>
      </c>
      <c r="B18" s="82" t="s">
        <v>23</v>
      </c>
      <c r="C18" s="17" t="s">
        <v>24</v>
      </c>
      <c r="D18" s="16" t="s">
        <v>25</v>
      </c>
      <c r="E18" s="17" t="s">
        <v>26</v>
      </c>
      <c r="F18" s="17"/>
      <c r="G18" s="17"/>
      <c r="H18" s="16" t="s">
        <v>27</v>
      </c>
      <c r="I18" s="18">
        <v>-33050000</v>
      </c>
      <c r="J18" s="18"/>
      <c r="K18" s="18"/>
      <c r="L18" s="18">
        <f>+I18+J18+K18</f>
        <v>-33050000</v>
      </c>
    </row>
    <row r="19" spans="1:12" s="1" customFormat="1" ht="29.25" customHeight="1" x14ac:dyDescent="0.25">
      <c r="A19" s="16" t="s">
        <v>28</v>
      </c>
      <c r="B19" s="82" t="s">
        <v>29</v>
      </c>
      <c r="C19" s="17" t="s">
        <v>24</v>
      </c>
      <c r="D19" s="16" t="s">
        <v>25</v>
      </c>
      <c r="E19" s="17" t="s">
        <v>26</v>
      </c>
      <c r="F19" s="17"/>
      <c r="G19" s="17"/>
      <c r="H19" s="16" t="s">
        <v>27</v>
      </c>
      <c r="I19" s="18">
        <v>-46850000</v>
      </c>
      <c r="J19" s="18"/>
      <c r="K19" s="18"/>
      <c r="L19" s="18">
        <f t="shared" ref="L19:L20" si="0">+I19+J19+K19</f>
        <v>-46850000</v>
      </c>
    </row>
    <row r="20" spans="1:12" s="1" customFormat="1" ht="26.4" x14ac:dyDescent="0.25">
      <c r="A20" s="16" t="s">
        <v>30</v>
      </c>
      <c r="B20" s="82" t="s">
        <v>31</v>
      </c>
      <c r="C20" s="17" t="s">
        <v>32</v>
      </c>
      <c r="D20" s="16" t="s">
        <v>33</v>
      </c>
      <c r="E20" s="17" t="s">
        <v>26</v>
      </c>
      <c r="F20" s="17"/>
      <c r="G20" s="17"/>
      <c r="H20" s="16" t="s">
        <v>27</v>
      </c>
      <c r="I20" s="18">
        <v>-20460000</v>
      </c>
      <c r="J20" s="18"/>
      <c r="K20" s="18"/>
      <c r="L20" s="18">
        <f t="shared" si="0"/>
        <v>-20460000</v>
      </c>
    </row>
    <row r="21" spans="1:12" s="1" customFormat="1" ht="13.2" x14ac:dyDescent="0.25">
      <c r="A21" s="19" t="s">
        <v>202</v>
      </c>
      <c r="B21" s="20"/>
      <c r="C21" s="14"/>
      <c r="D21" s="19"/>
      <c r="E21" s="21"/>
      <c r="F21" s="21"/>
      <c r="G21" s="21"/>
      <c r="H21" s="21"/>
      <c r="I21" s="22">
        <f>+SUBTOTAL(9, I18:I20)</f>
        <v>-100360000</v>
      </c>
      <c r="J21" s="22">
        <f>+SUBTOTAL(9, J18:J20)</f>
        <v>0</v>
      </c>
      <c r="K21" s="22"/>
      <c r="L21" s="22">
        <f>+SUBTOTAL(9, L18:L20)</f>
        <v>-100360000</v>
      </c>
    </row>
    <row r="22" spans="1:12" s="24" customFormat="1" ht="26.4" x14ac:dyDescent="0.25">
      <c r="A22" s="28" t="s">
        <v>203</v>
      </c>
      <c r="B22" s="82" t="s">
        <v>180</v>
      </c>
      <c r="C22" s="17" t="s">
        <v>60</v>
      </c>
      <c r="D22" s="16" t="s">
        <v>61</v>
      </c>
      <c r="E22" s="17" t="s">
        <v>26</v>
      </c>
      <c r="F22" s="17" t="s">
        <v>181</v>
      </c>
      <c r="G22" s="17" t="s">
        <v>182</v>
      </c>
      <c r="H22" s="16" t="s">
        <v>27</v>
      </c>
      <c r="I22" s="18">
        <v>0</v>
      </c>
      <c r="J22" s="18">
        <v>-1000000</v>
      </c>
      <c r="K22" s="18"/>
      <c r="L22" s="18">
        <f>+I22+J22+K22</f>
        <v>-1000000</v>
      </c>
    </row>
    <row r="23" spans="1:12" s="1" customFormat="1" ht="13.2" x14ac:dyDescent="0.25">
      <c r="A23" s="19" t="s">
        <v>204</v>
      </c>
      <c r="B23" s="20"/>
      <c r="C23" s="14"/>
      <c r="D23" s="19"/>
      <c r="E23" s="21"/>
      <c r="F23" s="21"/>
      <c r="G23" s="21"/>
      <c r="H23" s="21"/>
      <c r="I23" s="22">
        <f>+SUBTOTAL(9, I22)</f>
        <v>0</v>
      </c>
      <c r="J23" s="22">
        <f t="shared" ref="J23:L23" si="1">+SUBTOTAL(9, J22)</f>
        <v>-1000000</v>
      </c>
      <c r="K23" s="22">
        <f t="shared" si="1"/>
        <v>0</v>
      </c>
      <c r="L23" s="22">
        <f t="shared" si="1"/>
        <v>-1000000</v>
      </c>
    </row>
    <row r="24" spans="1:12" s="24" customFormat="1" ht="26.4" x14ac:dyDescent="0.25">
      <c r="A24" s="28" t="s">
        <v>34</v>
      </c>
      <c r="B24" s="82" t="s">
        <v>35</v>
      </c>
      <c r="C24" s="17" t="s">
        <v>36</v>
      </c>
      <c r="D24" s="16" t="s">
        <v>37</v>
      </c>
      <c r="E24" s="17" t="s">
        <v>26</v>
      </c>
      <c r="F24" s="17"/>
      <c r="G24" s="17"/>
      <c r="H24" s="16" t="s">
        <v>27</v>
      </c>
      <c r="I24" s="18">
        <v>-5200000</v>
      </c>
      <c r="J24" s="18"/>
      <c r="K24" s="18"/>
      <c r="L24" s="18">
        <f t="shared" ref="L24:L26" si="2">+I24+J24+K24</f>
        <v>-5200000</v>
      </c>
    </row>
    <row r="25" spans="1:12" s="24" customFormat="1" ht="26.4" x14ac:dyDescent="0.25">
      <c r="A25" s="23"/>
      <c r="B25" s="82" t="s">
        <v>35</v>
      </c>
      <c r="C25" s="17" t="s">
        <v>36</v>
      </c>
      <c r="D25" s="16" t="s">
        <v>37</v>
      </c>
      <c r="E25" s="17" t="s">
        <v>26</v>
      </c>
      <c r="F25" s="17" t="s">
        <v>183</v>
      </c>
      <c r="G25" s="17" t="s">
        <v>184</v>
      </c>
      <c r="H25" s="16" t="s">
        <v>27</v>
      </c>
      <c r="I25" s="18">
        <v>0</v>
      </c>
      <c r="J25" s="18">
        <v>-450000</v>
      </c>
      <c r="K25" s="18"/>
      <c r="L25" s="18">
        <f t="shared" si="2"/>
        <v>-450000</v>
      </c>
    </row>
    <row r="26" spans="1:12" s="1" customFormat="1" ht="26.4" x14ac:dyDescent="0.25">
      <c r="A26" s="23"/>
      <c r="B26" s="82" t="s">
        <v>35</v>
      </c>
      <c r="C26" s="17" t="s">
        <v>36</v>
      </c>
      <c r="D26" s="16" t="s">
        <v>37</v>
      </c>
      <c r="E26" s="17" t="s">
        <v>26</v>
      </c>
      <c r="F26" s="17"/>
      <c r="G26" s="17"/>
      <c r="H26" s="16" t="s">
        <v>38</v>
      </c>
      <c r="I26" s="18">
        <v>-849999.99999000027</v>
      </c>
      <c r="J26" s="18"/>
      <c r="K26" s="18"/>
      <c r="L26" s="18">
        <f t="shared" si="2"/>
        <v>-849999.99999000027</v>
      </c>
    </row>
    <row r="27" spans="1:12" s="24" customFormat="1" ht="13.2" x14ac:dyDescent="0.25">
      <c r="A27" s="25" t="s">
        <v>39</v>
      </c>
      <c r="B27" s="80"/>
      <c r="C27" s="13"/>
      <c r="D27" s="14"/>
      <c r="E27" s="13"/>
      <c r="F27" s="13"/>
      <c r="G27" s="13"/>
      <c r="H27" s="13"/>
      <c r="I27" s="26">
        <f>+SUBTOTAL(9, I24:I26)</f>
        <v>-6049999.9999900004</v>
      </c>
      <c r="J27" s="26">
        <f t="shared" ref="J27:L27" si="3">+SUBTOTAL(9, J24:J26)</f>
        <v>-450000</v>
      </c>
      <c r="K27" s="26">
        <f t="shared" si="3"/>
        <v>0</v>
      </c>
      <c r="L27" s="26">
        <f t="shared" si="3"/>
        <v>-6499999.9999900004</v>
      </c>
    </row>
    <row r="28" spans="1:12" s="1" customFormat="1" ht="26.4" x14ac:dyDescent="0.25">
      <c r="A28" s="27" t="s">
        <v>40</v>
      </c>
      <c r="B28" s="81" t="s">
        <v>41</v>
      </c>
      <c r="C28" s="17" t="s">
        <v>42</v>
      </c>
      <c r="D28" s="16" t="s">
        <v>43</v>
      </c>
      <c r="E28" s="17" t="s">
        <v>26</v>
      </c>
      <c r="F28" s="17" t="s">
        <v>44</v>
      </c>
      <c r="G28" s="17" t="s">
        <v>45</v>
      </c>
      <c r="H28" s="17" t="s">
        <v>46</v>
      </c>
      <c r="I28" s="18">
        <v>-699999.99999000004</v>
      </c>
      <c r="J28" s="18">
        <v>-104008</v>
      </c>
      <c r="K28" s="18">
        <v>150000</v>
      </c>
      <c r="L28" s="18">
        <f t="shared" ref="L28:L29" si="4">+I28+J28+K28</f>
        <v>-654007.99999000004</v>
      </c>
    </row>
    <row r="29" spans="1:12" s="1" customFormat="1" ht="26.4" x14ac:dyDescent="0.25">
      <c r="A29" s="17"/>
      <c r="B29" s="82" t="s">
        <v>41</v>
      </c>
      <c r="C29" s="17" t="s">
        <v>42</v>
      </c>
      <c r="D29" s="16" t="s">
        <v>43</v>
      </c>
      <c r="E29" s="17" t="s">
        <v>26</v>
      </c>
      <c r="F29" s="17"/>
      <c r="G29" s="17"/>
      <c r="H29" s="16" t="s">
        <v>38</v>
      </c>
      <c r="I29" s="18">
        <v>-2207736.00098</v>
      </c>
      <c r="J29" s="18"/>
      <c r="K29" s="18">
        <v>-150000</v>
      </c>
      <c r="L29" s="18">
        <f t="shared" si="4"/>
        <v>-2357736.00098</v>
      </c>
    </row>
    <row r="30" spans="1:12" s="24" customFormat="1" ht="13.2" x14ac:dyDescent="0.25">
      <c r="A30" s="107" t="s">
        <v>47</v>
      </c>
      <c r="B30" s="107"/>
      <c r="C30" s="107"/>
      <c r="D30" s="14"/>
      <c r="E30" s="13"/>
      <c r="F30" s="13"/>
      <c r="G30" s="13"/>
      <c r="H30" s="13"/>
      <c r="I30" s="26">
        <f>+SUBTOTAL(9, I28:I29)</f>
        <v>-2907736.0009699999</v>
      </c>
      <c r="J30" s="26">
        <f t="shared" ref="J30:L30" si="5">+SUBTOTAL(9, J28:J29)</f>
        <v>-104008</v>
      </c>
      <c r="K30" s="26">
        <f t="shared" si="5"/>
        <v>0</v>
      </c>
      <c r="L30" s="26">
        <f t="shared" si="5"/>
        <v>-3011744.0009699999</v>
      </c>
    </row>
    <row r="31" spans="1:12" s="1" customFormat="1" ht="13.2" x14ac:dyDescent="0.25">
      <c r="A31" s="28" t="s">
        <v>48</v>
      </c>
      <c r="B31" s="92" t="s">
        <v>49</v>
      </c>
      <c r="C31" s="17" t="s">
        <v>50</v>
      </c>
      <c r="D31" s="16" t="s">
        <v>51</v>
      </c>
      <c r="E31" s="17" t="s">
        <v>26</v>
      </c>
      <c r="F31" s="17" t="s">
        <v>20</v>
      </c>
      <c r="G31" s="17" t="s">
        <v>20</v>
      </c>
      <c r="H31" s="16" t="s">
        <v>38</v>
      </c>
      <c r="I31" s="18">
        <v>-1778000</v>
      </c>
      <c r="J31" s="18"/>
      <c r="K31" s="18"/>
      <c r="L31" s="18">
        <f>+I31+J31+K31</f>
        <v>-1778000</v>
      </c>
    </row>
    <row r="32" spans="1:12" s="24" customFormat="1" ht="13.2" x14ac:dyDescent="0.25">
      <c r="A32" s="29" t="s">
        <v>52</v>
      </c>
      <c r="B32" s="83"/>
      <c r="C32" s="13"/>
      <c r="D32" s="14"/>
      <c r="E32" s="13"/>
      <c r="F32" s="13"/>
      <c r="G32" s="13"/>
      <c r="H32" s="13"/>
      <c r="I32" s="26">
        <f>+SUBTOTAL(9, I31)</f>
        <v>-1778000</v>
      </c>
      <c r="J32" s="26">
        <f t="shared" ref="J32:L32" si="6">+SUBTOTAL(9, J31)</f>
        <v>0</v>
      </c>
      <c r="K32" s="26">
        <f t="shared" si="6"/>
        <v>0</v>
      </c>
      <c r="L32" s="26">
        <f t="shared" si="6"/>
        <v>-1778000</v>
      </c>
    </row>
    <row r="33" spans="1:12" s="58" customFormat="1" ht="30" customHeight="1" x14ac:dyDescent="0.3">
      <c r="A33" s="42" t="s">
        <v>193</v>
      </c>
      <c r="B33" s="84" t="s">
        <v>194</v>
      </c>
      <c r="C33" s="43" t="s">
        <v>185</v>
      </c>
      <c r="D33" s="42" t="s">
        <v>186</v>
      </c>
      <c r="E33" s="43" t="s">
        <v>26</v>
      </c>
      <c r="F33" s="43" t="s">
        <v>191</v>
      </c>
      <c r="G33" s="43" t="s">
        <v>192</v>
      </c>
      <c r="H33" s="61" t="s">
        <v>27</v>
      </c>
      <c r="I33" s="67">
        <v>0</v>
      </c>
      <c r="J33" s="67">
        <v>-94276</v>
      </c>
      <c r="K33" s="67"/>
      <c r="L33" s="44">
        <f>+I33+J33+K33</f>
        <v>-94276</v>
      </c>
    </row>
    <row r="34" spans="1:12" s="24" customFormat="1" ht="13.2" x14ac:dyDescent="0.25">
      <c r="A34" s="30" t="s">
        <v>195</v>
      </c>
      <c r="B34" s="85"/>
      <c r="C34" s="13"/>
      <c r="D34" s="14"/>
      <c r="E34" s="13"/>
      <c r="F34" s="13"/>
      <c r="G34" s="13"/>
      <c r="H34" s="13"/>
      <c r="I34" s="26">
        <f>+SUBTOTAL(9, I33)</f>
        <v>0</v>
      </c>
      <c r="J34" s="26">
        <f t="shared" ref="J34:L34" si="7">+SUBTOTAL(9, J33)</f>
        <v>-94276</v>
      </c>
      <c r="K34" s="26">
        <f t="shared" si="7"/>
        <v>0</v>
      </c>
      <c r="L34" s="26">
        <f t="shared" si="7"/>
        <v>-94276</v>
      </c>
    </row>
    <row r="35" spans="1:12" s="58" customFormat="1" ht="34.200000000000003" customHeight="1" x14ac:dyDescent="0.3">
      <c r="A35" s="72" t="s">
        <v>227</v>
      </c>
      <c r="B35" s="76" t="s">
        <v>230</v>
      </c>
      <c r="C35" s="43" t="s">
        <v>54</v>
      </c>
      <c r="D35" s="42" t="s">
        <v>55</v>
      </c>
      <c r="E35" s="43" t="s">
        <v>26</v>
      </c>
      <c r="F35" s="71"/>
      <c r="G35" s="71"/>
      <c r="H35" s="42" t="s">
        <v>229</v>
      </c>
      <c r="I35" s="44">
        <v>0</v>
      </c>
      <c r="J35" s="44"/>
      <c r="K35" s="44">
        <f>-4000000-1900000</f>
        <v>-5900000</v>
      </c>
      <c r="L35" s="44">
        <f>+I35+J35+K35</f>
        <v>-5900000</v>
      </c>
    </row>
    <row r="36" spans="1:12" s="24" customFormat="1" ht="13.2" x14ac:dyDescent="0.25">
      <c r="A36" s="73" t="s">
        <v>228</v>
      </c>
      <c r="B36" s="85"/>
      <c r="C36" s="13"/>
      <c r="D36" s="14"/>
      <c r="E36" s="13"/>
      <c r="F36" s="13"/>
      <c r="G36" s="13"/>
      <c r="H36" s="13"/>
      <c r="I36" s="26">
        <f>+SUBTOTAL(9, I35)</f>
        <v>0</v>
      </c>
      <c r="J36" s="26">
        <f t="shared" ref="J36:L36" si="8">+SUBTOTAL(9, J35)</f>
        <v>0</v>
      </c>
      <c r="K36" s="26">
        <f t="shared" si="8"/>
        <v>-5900000</v>
      </c>
      <c r="L36" s="26">
        <f t="shared" si="8"/>
        <v>-5900000</v>
      </c>
    </row>
    <row r="37" spans="1:12" s="1" customFormat="1" ht="29.4" customHeight="1" x14ac:dyDescent="0.25">
      <c r="A37" s="70" t="s">
        <v>231</v>
      </c>
      <c r="B37" s="76" t="s">
        <v>233</v>
      </c>
      <c r="C37" s="43" t="s">
        <v>54</v>
      </c>
      <c r="D37" s="42" t="s">
        <v>55</v>
      </c>
      <c r="E37" s="43" t="s">
        <v>26</v>
      </c>
      <c r="F37" s="17"/>
      <c r="G37" s="17"/>
      <c r="H37" s="61" t="s">
        <v>238</v>
      </c>
      <c r="I37" s="44">
        <v>0</v>
      </c>
      <c r="J37" s="44"/>
      <c r="K37" s="44">
        <v>-950000</v>
      </c>
      <c r="L37" s="44">
        <f>+I37+J37+K37</f>
        <v>-950000</v>
      </c>
    </row>
    <row r="38" spans="1:12" s="1" customFormat="1" ht="29.4" customHeight="1" x14ac:dyDescent="0.25">
      <c r="A38" s="72"/>
      <c r="B38" s="76" t="s">
        <v>234</v>
      </c>
      <c r="C38" s="43" t="s">
        <v>54</v>
      </c>
      <c r="D38" s="42" t="s">
        <v>55</v>
      </c>
      <c r="E38" s="43" t="s">
        <v>26</v>
      </c>
      <c r="F38" s="17"/>
      <c r="G38" s="17"/>
      <c r="H38" s="61" t="s">
        <v>239</v>
      </c>
      <c r="I38" s="44">
        <v>0</v>
      </c>
      <c r="J38" s="44"/>
      <c r="K38" s="75">
        <v>-1400000</v>
      </c>
      <c r="L38" s="44">
        <f t="shared" ref="L38:L39" si="9">+I38+J38+K38</f>
        <v>-1400000</v>
      </c>
    </row>
    <row r="39" spans="1:12" s="1" customFormat="1" ht="42" customHeight="1" x14ac:dyDescent="0.25">
      <c r="A39" s="72"/>
      <c r="B39" s="76" t="s">
        <v>235</v>
      </c>
      <c r="C39" s="43" t="s">
        <v>54</v>
      </c>
      <c r="D39" s="42" t="s">
        <v>55</v>
      </c>
      <c r="E39" s="43" t="s">
        <v>26</v>
      </c>
      <c r="F39" s="17"/>
      <c r="G39" s="17"/>
      <c r="H39" s="61" t="s">
        <v>240</v>
      </c>
      <c r="I39" s="44">
        <v>0</v>
      </c>
      <c r="J39" s="44"/>
      <c r="K39" s="44">
        <v>-520040</v>
      </c>
      <c r="L39" s="44">
        <f t="shared" si="9"/>
        <v>-520040</v>
      </c>
    </row>
    <row r="40" spans="1:12" s="24" customFormat="1" ht="13.2" x14ac:dyDescent="0.25">
      <c r="A40" s="30" t="s">
        <v>232</v>
      </c>
      <c r="B40" s="85"/>
      <c r="C40" s="13"/>
      <c r="D40" s="14"/>
      <c r="E40" s="13"/>
      <c r="F40" s="13"/>
      <c r="G40" s="13"/>
      <c r="H40" s="13"/>
      <c r="I40" s="26">
        <f>+SUBTOTAL(9, I37:I39)</f>
        <v>0</v>
      </c>
      <c r="J40" s="26">
        <f t="shared" ref="J40:L40" si="10">+SUBTOTAL(9, J37:J39)</f>
        <v>0</v>
      </c>
      <c r="K40" s="26">
        <f t="shared" si="10"/>
        <v>-2870040</v>
      </c>
      <c r="L40" s="26">
        <f t="shared" si="10"/>
        <v>-2870040</v>
      </c>
    </row>
    <row r="41" spans="1:12" s="58" customFormat="1" ht="40.200000000000003" customHeight="1" x14ac:dyDescent="0.3">
      <c r="A41" s="43" t="s">
        <v>236</v>
      </c>
      <c r="B41" s="76" t="s">
        <v>235</v>
      </c>
      <c r="C41" s="43" t="s">
        <v>54</v>
      </c>
      <c r="D41" s="42" t="s">
        <v>55</v>
      </c>
      <c r="E41" s="43" t="s">
        <v>26</v>
      </c>
      <c r="F41" s="43"/>
      <c r="G41" s="43"/>
      <c r="H41" s="61" t="s">
        <v>240</v>
      </c>
      <c r="I41" s="44">
        <v>0</v>
      </c>
      <c r="J41" s="44"/>
      <c r="K41" s="44">
        <v>-215000</v>
      </c>
      <c r="L41" s="44">
        <f>+I41+J41+K41</f>
        <v>-215000</v>
      </c>
    </row>
    <row r="42" spans="1:12" s="24" customFormat="1" ht="13.2" x14ac:dyDescent="0.25">
      <c r="A42" s="77" t="s">
        <v>237</v>
      </c>
      <c r="B42" s="19"/>
      <c r="C42" s="13"/>
      <c r="D42" s="14"/>
      <c r="E42" s="13"/>
      <c r="F42" s="13"/>
      <c r="G42" s="13"/>
      <c r="H42" s="13"/>
      <c r="I42" s="26">
        <f>+SUBTOTAL(9, I41)</f>
        <v>0</v>
      </c>
      <c r="J42" s="26">
        <f t="shared" ref="J42:L42" si="11">+SUBTOTAL(9, J41)</f>
        <v>0</v>
      </c>
      <c r="K42" s="26">
        <f t="shared" si="11"/>
        <v>-215000</v>
      </c>
      <c r="L42" s="26">
        <f t="shared" si="11"/>
        <v>-215000</v>
      </c>
    </row>
    <row r="43" spans="1:12" s="58" customFormat="1" ht="41.4" customHeight="1" x14ac:dyDescent="0.3">
      <c r="A43" s="43" t="s">
        <v>189</v>
      </c>
      <c r="B43" s="74" t="s">
        <v>242</v>
      </c>
      <c r="C43" s="43" t="s">
        <v>54</v>
      </c>
      <c r="D43" s="42" t="s">
        <v>55</v>
      </c>
      <c r="E43" s="43" t="s">
        <v>26</v>
      </c>
      <c r="F43" s="43"/>
      <c r="G43" s="43"/>
      <c r="H43" s="61" t="s">
        <v>241</v>
      </c>
      <c r="I43" s="44">
        <v>0</v>
      </c>
      <c r="J43" s="44"/>
      <c r="K43" s="44">
        <v>-1000000</v>
      </c>
      <c r="L43" s="44">
        <f>+I43+J43+K43</f>
        <v>-1000000</v>
      </c>
    </row>
    <row r="44" spans="1:12" s="24" customFormat="1" ht="13.2" x14ac:dyDescent="0.25">
      <c r="A44" s="45" t="s">
        <v>190</v>
      </c>
      <c r="B44" s="95"/>
      <c r="C44" s="13"/>
      <c r="D44" s="14"/>
      <c r="E44" s="13"/>
      <c r="F44" s="13"/>
      <c r="G44" s="13"/>
      <c r="H44" s="13"/>
      <c r="I44" s="26">
        <f>+SUBTOTAL(9, I43)</f>
        <v>0</v>
      </c>
      <c r="J44" s="26">
        <f t="shared" ref="J44:L44" si="12">+SUBTOTAL(9, J43)</f>
        <v>0</v>
      </c>
      <c r="K44" s="26">
        <f t="shared" si="12"/>
        <v>-1000000</v>
      </c>
      <c r="L44" s="26">
        <f t="shared" si="12"/>
        <v>-1000000</v>
      </c>
    </row>
    <row r="45" spans="1:12" s="59" customFormat="1" ht="26.4" x14ac:dyDescent="0.3">
      <c r="A45" s="97" t="s">
        <v>249</v>
      </c>
      <c r="B45" s="74" t="s">
        <v>248</v>
      </c>
      <c r="C45" s="43" t="s">
        <v>54</v>
      </c>
      <c r="D45" s="42" t="s">
        <v>55</v>
      </c>
      <c r="E45" s="43" t="s">
        <v>26</v>
      </c>
      <c r="F45" s="71"/>
      <c r="G45" s="71"/>
      <c r="H45" s="43" t="s">
        <v>27</v>
      </c>
      <c r="I45" s="96"/>
      <c r="J45" s="96"/>
      <c r="K45" s="44">
        <v>-240000</v>
      </c>
      <c r="L45" s="44">
        <f>+I45+J45+K45</f>
        <v>-240000</v>
      </c>
    </row>
    <row r="46" spans="1:12" s="103" customFormat="1" ht="13.2" x14ac:dyDescent="0.25">
      <c r="A46" s="100" t="s">
        <v>250</v>
      </c>
      <c r="B46" s="101"/>
      <c r="C46" s="29"/>
      <c r="D46" s="10"/>
      <c r="E46" s="29"/>
      <c r="F46" s="29"/>
      <c r="G46" s="29"/>
      <c r="H46" s="29"/>
      <c r="I46" s="102">
        <f>+SUBTOTAL(9, I45)</f>
        <v>0</v>
      </c>
      <c r="J46" s="102">
        <f t="shared" ref="J46:L46" si="13">+SUBTOTAL(9, J45)</f>
        <v>0</v>
      </c>
      <c r="K46" s="102">
        <f t="shared" si="13"/>
        <v>-240000</v>
      </c>
      <c r="L46" s="102">
        <f t="shared" si="13"/>
        <v>-240000</v>
      </c>
    </row>
    <row r="47" spans="1:12" s="24" customFormat="1" ht="28.2" customHeight="1" x14ac:dyDescent="0.25">
      <c r="A47" s="42"/>
      <c r="B47" s="86" t="s">
        <v>53</v>
      </c>
      <c r="C47" s="43" t="s">
        <v>54</v>
      </c>
      <c r="D47" s="42" t="s">
        <v>55</v>
      </c>
      <c r="E47" s="43" t="s">
        <v>26</v>
      </c>
      <c r="F47" s="43"/>
      <c r="G47" s="43"/>
      <c r="H47" s="42" t="s">
        <v>224</v>
      </c>
      <c r="I47" s="44">
        <v>-2215000</v>
      </c>
      <c r="J47" s="44"/>
      <c r="K47" s="44">
        <v>2215000</v>
      </c>
      <c r="L47" s="44">
        <f t="shared" ref="L47:L50" si="14">+I47+J47+K47</f>
        <v>0</v>
      </c>
    </row>
    <row r="48" spans="1:12" s="69" customFormat="1" ht="43.5" customHeight="1" x14ac:dyDescent="0.3">
      <c r="A48" s="63"/>
      <c r="B48" s="104" t="s">
        <v>244</v>
      </c>
      <c r="C48" s="63" t="s">
        <v>54</v>
      </c>
      <c r="D48" s="61" t="s">
        <v>55</v>
      </c>
      <c r="E48" s="63" t="s">
        <v>26</v>
      </c>
      <c r="F48" s="63"/>
      <c r="G48" s="63"/>
      <c r="H48" s="61" t="s">
        <v>247</v>
      </c>
      <c r="I48" s="62">
        <f>-3767895-7801000-15760256</f>
        <v>-27329151</v>
      </c>
      <c r="J48" s="62"/>
      <c r="K48" s="62">
        <f>367000+20096540-1000000+240000</f>
        <v>19703540</v>
      </c>
      <c r="L48" s="62">
        <f t="shared" si="14"/>
        <v>-7625611</v>
      </c>
    </row>
    <row r="49" spans="1:12" s="58" customFormat="1" ht="31.8" customHeight="1" x14ac:dyDescent="0.3">
      <c r="A49" s="43"/>
      <c r="B49" s="84" t="s">
        <v>221</v>
      </c>
      <c r="C49" s="43" t="s">
        <v>54</v>
      </c>
      <c r="D49" s="42" t="s">
        <v>55</v>
      </c>
      <c r="E49" s="43" t="s">
        <v>26</v>
      </c>
      <c r="F49" s="43" t="s">
        <v>66</v>
      </c>
      <c r="G49" s="43" t="s">
        <v>67</v>
      </c>
      <c r="H49" s="42" t="s">
        <v>247</v>
      </c>
      <c r="I49" s="67">
        <v>-1000000</v>
      </c>
      <c r="J49" s="67"/>
      <c r="K49" s="67">
        <v>1000000</v>
      </c>
      <c r="L49" s="44">
        <f>+I49+J49+K49</f>
        <v>0</v>
      </c>
    </row>
    <row r="50" spans="1:12" s="58" customFormat="1" ht="30" customHeight="1" x14ac:dyDescent="0.3">
      <c r="A50" s="43"/>
      <c r="B50" s="86" t="s">
        <v>245</v>
      </c>
      <c r="C50" s="43" t="s">
        <v>56</v>
      </c>
      <c r="D50" s="42" t="s">
        <v>57</v>
      </c>
      <c r="E50" s="43"/>
      <c r="F50" s="43"/>
      <c r="G50" s="43"/>
      <c r="H50" s="42" t="s">
        <v>247</v>
      </c>
      <c r="I50" s="67">
        <f>-283605-100000+100000</f>
        <v>-283605</v>
      </c>
      <c r="J50" s="67"/>
      <c r="K50" s="67"/>
      <c r="L50" s="44">
        <f t="shared" si="14"/>
        <v>-283605</v>
      </c>
    </row>
    <row r="51" spans="1:12" s="24" customFormat="1" ht="13.2" x14ac:dyDescent="0.25">
      <c r="A51" s="30" t="s">
        <v>58</v>
      </c>
      <c r="B51" s="85"/>
      <c r="C51" s="31"/>
      <c r="D51" s="14"/>
      <c r="E51" s="13"/>
      <c r="F51" s="13"/>
      <c r="G51" s="13"/>
      <c r="H51" s="13"/>
      <c r="I51" s="26">
        <f>+SUBTOTAL(9, I47:I50)</f>
        <v>-30827756</v>
      </c>
      <c r="J51" s="26">
        <f t="shared" ref="J51:L51" si="15">+SUBTOTAL(9, J47:J50)</f>
        <v>0</v>
      </c>
      <c r="K51" s="26">
        <f t="shared" si="15"/>
        <v>22918540</v>
      </c>
      <c r="L51" s="26">
        <f t="shared" si="15"/>
        <v>-7909216</v>
      </c>
    </row>
    <row r="52" spans="1:12" s="58" customFormat="1" ht="14.1" customHeight="1" x14ac:dyDescent="0.3">
      <c r="A52" s="43" t="s">
        <v>59</v>
      </c>
      <c r="B52" s="98" t="s">
        <v>174</v>
      </c>
      <c r="C52" s="43" t="s">
        <v>60</v>
      </c>
      <c r="D52" s="42" t="s">
        <v>61</v>
      </c>
      <c r="E52" s="43" t="s">
        <v>26</v>
      </c>
      <c r="F52" s="43" t="s">
        <v>62</v>
      </c>
      <c r="G52" s="43" t="s">
        <v>63</v>
      </c>
      <c r="H52" s="43" t="s">
        <v>46</v>
      </c>
      <c r="I52" s="44">
        <v>-357999.99900000001</v>
      </c>
      <c r="J52" s="44"/>
      <c r="K52" s="44"/>
      <c r="L52" s="44">
        <f t="shared" ref="L52:L74" si="16">+I52+J52+K52</f>
        <v>-357999.99900000001</v>
      </c>
    </row>
    <row r="53" spans="1:12" s="58" customFormat="1" ht="14.1" customHeight="1" x14ac:dyDescent="0.3">
      <c r="A53" s="43"/>
      <c r="B53" s="98" t="s">
        <v>174</v>
      </c>
      <c r="C53" s="43" t="s">
        <v>73</v>
      </c>
      <c r="D53" s="42" t="s">
        <v>74</v>
      </c>
      <c r="E53" s="43" t="s">
        <v>26</v>
      </c>
      <c r="F53" s="43" t="s">
        <v>62</v>
      </c>
      <c r="G53" s="43" t="s">
        <v>63</v>
      </c>
      <c r="H53" s="43" t="s">
        <v>46</v>
      </c>
      <c r="I53" s="44">
        <v>0</v>
      </c>
      <c r="J53" s="44">
        <v>-15000000</v>
      </c>
      <c r="K53" s="44"/>
      <c r="L53" s="44">
        <f t="shared" si="16"/>
        <v>-15000000</v>
      </c>
    </row>
    <row r="54" spans="1:12" s="58" customFormat="1" ht="14.1" customHeight="1" x14ac:dyDescent="0.3">
      <c r="A54" s="43"/>
      <c r="B54" s="84" t="s">
        <v>64</v>
      </c>
      <c r="C54" s="43" t="s">
        <v>60</v>
      </c>
      <c r="D54" s="42" t="s">
        <v>61</v>
      </c>
      <c r="E54" s="43" t="s">
        <v>26</v>
      </c>
      <c r="F54" s="43"/>
      <c r="G54" s="43"/>
      <c r="H54" s="42" t="s">
        <v>205</v>
      </c>
      <c r="I54" s="44">
        <f>-25176-72540</f>
        <v>-97716</v>
      </c>
      <c r="J54" s="44"/>
      <c r="K54" s="44"/>
      <c r="L54" s="44">
        <f t="shared" si="16"/>
        <v>-97716</v>
      </c>
    </row>
    <row r="55" spans="1:12" s="58" customFormat="1" ht="14.1" customHeight="1" x14ac:dyDescent="0.3">
      <c r="A55" s="43"/>
      <c r="B55" s="84" t="s">
        <v>65</v>
      </c>
      <c r="C55" s="43" t="s">
        <v>60</v>
      </c>
      <c r="D55" s="42" t="s">
        <v>61</v>
      </c>
      <c r="E55" s="43" t="s">
        <v>26</v>
      </c>
      <c r="F55" s="43"/>
      <c r="G55" s="43"/>
      <c r="H55" s="42" t="s">
        <v>206</v>
      </c>
      <c r="I55" s="44">
        <v>-58147.714282857138</v>
      </c>
      <c r="J55" s="44"/>
      <c r="K55" s="44"/>
      <c r="L55" s="44">
        <f t="shared" si="16"/>
        <v>-58147.714282857138</v>
      </c>
    </row>
    <row r="56" spans="1:12" s="58" customFormat="1" ht="32.4" customHeight="1" x14ac:dyDescent="0.3">
      <c r="A56" s="43"/>
      <c r="B56" s="93" t="s">
        <v>243</v>
      </c>
      <c r="C56" s="43" t="s">
        <v>54</v>
      </c>
      <c r="D56" s="42" t="s">
        <v>55</v>
      </c>
      <c r="E56" s="43" t="s">
        <v>26</v>
      </c>
      <c r="F56" s="43"/>
      <c r="G56" s="43"/>
      <c r="H56" s="42" t="s">
        <v>207</v>
      </c>
      <c r="I56" s="62">
        <f>-883867-400000-14920000-242000</f>
        <v>-16445867</v>
      </c>
      <c r="J56" s="62"/>
      <c r="K56" s="62">
        <f>-138000-367000-7001500</f>
        <v>-7506500</v>
      </c>
      <c r="L56" s="44">
        <f t="shared" si="16"/>
        <v>-23952367</v>
      </c>
    </row>
    <row r="57" spans="1:12" s="58" customFormat="1" ht="30" customHeight="1" x14ac:dyDescent="0.3">
      <c r="A57" s="43"/>
      <c r="B57" s="84" t="s">
        <v>68</v>
      </c>
      <c r="C57" s="43" t="s">
        <v>54</v>
      </c>
      <c r="D57" s="42" t="s">
        <v>55</v>
      </c>
      <c r="E57" s="43" t="s">
        <v>26</v>
      </c>
      <c r="F57" s="43"/>
      <c r="G57" s="43"/>
      <c r="H57" s="42" t="s">
        <v>206</v>
      </c>
      <c r="I57" s="44">
        <v>-918229.30059200001</v>
      </c>
      <c r="J57" s="44"/>
      <c r="K57" s="44"/>
      <c r="L57" s="44">
        <f t="shared" si="16"/>
        <v>-918229.30059200001</v>
      </c>
    </row>
    <row r="58" spans="1:12" s="58" customFormat="1" ht="39.6" customHeight="1" x14ac:dyDescent="0.3">
      <c r="A58" s="43"/>
      <c r="B58" s="94" t="s">
        <v>69</v>
      </c>
      <c r="C58" s="43" t="s">
        <v>70</v>
      </c>
      <c r="D58" s="42" t="s">
        <v>71</v>
      </c>
      <c r="E58" s="43" t="s">
        <v>26</v>
      </c>
      <c r="F58" s="43" t="s">
        <v>20</v>
      </c>
      <c r="G58" s="43" t="s">
        <v>20</v>
      </c>
      <c r="H58" s="42" t="s">
        <v>208</v>
      </c>
      <c r="I58" s="67">
        <v>-170000</v>
      </c>
      <c r="J58" s="67"/>
      <c r="K58" s="67"/>
      <c r="L58" s="44">
        <f t="shared" si="16"/>
        <v>-170000</v>
      </c>
    </row>
    <row r="59" spans="1:12" s="58" customFormat="1" ht="40.799999999999997" customHeight="1" x14ac:dyDescent="0.3">
      <c r="A59" s="43"/>
      <c r="B59" s="84" t="s">
        <v>65</v>
      </c>
      <c r="C59" s="43" t="s">
        <v>70</v>
      </c>
      <c r="D59" s="42" t="s">
        <v>71</v>
      </c>
      <c r="E59" s="43" t="s">
        <v>26</v>
      </c>
      <c r="F59" s="43" t="s">
        <v>20</v>
      </c>
      <c r="G59" s="43" t="s">
        <v>20</v>
      </c>
      <c r="H59" s="42" t="s">
        <v>206</v>
      </c>
      <c r="I59" s="67">
        <v>-58147.714282857138</v>
      </c>
      <c r="J59" s="67"/>
      <c r="K59" s="67"/>
      <c r="L59" s="44">
        <f t="shared" si="16"/>
        <v>-58147.714282857138</v>
      </c>
    </row>
    <row r="60" spans="1:12" s="58" customFormat="1" ht="24" x14ac:dyDescent="0.3">
      <c r="A60" s="43"/>
      <c r="B60" s="84" t="s">
        <v>72</v>
      </c>
      <c r="C60" s="43" t="s">
        <v>73</v>
      </c>
      <c r="D60" s="42" t="s">
        <v>74</v>
      </c>
      <c r="E60" s="43" t="s">
        <v>26</v>
      </c>
      <c r="F60" s="43" t="s">
        <v>75</v>
      </c>
      <c r="G60" s="43" t="s">
        <v>76</v>
      </c>
      <c r="H60" s="43" t="s">
        <v>46</v>
      </c>
      <c r="I60" s="44">
        <v>-3040000</v>
      </c>
      <c r="J60" s="44"/>
      <c r="K60" s="44"/>
      <c r="L60" s="44">
        <f t="shared" si="16"/>
        <v>-3040000</v>
      </c>
    </row>
    <row r="61" spans="1:12" s="58" customFormat="1" ht="13.2" x14ac:dyDescent="0.3">
      <c r="A61" s="43"/>
      <c r="B61" s="84" t="s">
        <v>175</v>
      </c>
      <c r="C61" s="43" t="s">
        <v>73</v>
      </c>
      <c r="D61" s="42" t="s">
        <v>74</v>
      </c>
      <c r="E61" s="43" t="s">
        <v>26</v>
      </c>
      <c r="F61" s="43" t="s">
        <v>176</v>
      </c>
      <c r="G61" s="43" t="s">
        <v>177</v>
      </c>
      <c r="H61" s="43" t="s">
        <v>46</v>
      </c>
      <c r="I61" s="44">
        <v>0</v>
      </c>
      <c r="J61" s="44">
        <v>-1400000</v>
      </c>
      <c r="K61" s="44"/>
      <c r="L61" s="44">
        <f t="shared" si="16"/>
        <v>-1400000</v>
      </c>
    </row>
    <row r="62" spans="1:12" s="58" customFormat="1" ht="27.75" customHeight="1" x14ac:dyDescent="0.3">
      <c r="A62" s="43"/>
      <c r="B62" s="84" t="s">
        <v>77</v>
      </c>
      <c r="C62" s="43" t="s">
        <v>73</v>
      </c>
      <c r="D62" s="42" t="s">
        <v>74</v>
      </c>
      <c r="E62" s="43" t="s">
        <v>26</v>
      </c>
      <c r="F62" s="43" t="s">
        <v>20</v>
      </c>
      <c r="G62" s="43" t="s">
        <v>20</v>
      </c>
      <c r="H62" s="42" t="s">
        <v>209</v>
      </c>
      <c r="I62" s="44">
        <f>-160000-549460</f>
        <v>-709460</v>
      </c>
      <c r="J62" s="44"/>
      <c r="K62" s="44"/>
      <c r="L62" s="44">
        <f t="shared" si="16"/>
        <v>-709460</v>
      </c>
    </row>
    <row r="63" spans="1:12" s="58" customFormat="1" ht="15.75" customHeight="1" x14ac:dyDescent="0.3">
      <c r="A63" s="43"/>
      <c r="B63" s="84" t="s">
        <v>78</v>
      </c>
      <c r="C63" s="43" t="s">
        <v>73</v>
      </c>
      <c r="D63" s="42" t="s">
        <v>74</v>
      </c>
      <c r="E63" s="43" t="s">
        <v>26</v>
      </c>
      <c r="F63" s="43" t="s">
        <v>20</v>
      </c>
      <c r="G63" s="43" t="s">
        <v>20</v>
      </c>
      <c r="H63" s="42" t="s">
        <v>206</v>
      </c>
      <c r="I63" s="44">
        <v>-290738.57141428569</v>
      </c>
      <c r="J63" s="44"/>
      <c r="K63" s="44"/>
      <c r="L63" s="44">
        <f t="shared" si="16"/>
        <v>-290738.57141428569</v>
      </c>
    </row>
    <row r="64" spans="1:12" s="58" customFormat="1" ht="14.4" customHeight="1" x14ac:dyDescent="0.3">
      <c r="A64" s="43"/>
      <c r="B64" s="84" t="s">
        <v>246</v>
      </c>
      <c r="C64" s="43" t="s">
        <v>73</v>
      </c>
      <c r="D64" s="42" t="s">
        <v>74</v>
      </c>
      <c r="E64" s="43" t="s">
        <v>26</v>
      </c>
      <c r="F64" s="43" t="s">
        <v>172</v>
      </c>
      <c r="G64" s="43" t="s">
        <v>173</v>
      </c>
      <c r="H64" s="42" t="s">
        <v>27</v>
      </c>
      <c r="I64" s="44">
        <v>0</v>
      </c>
      <c r="J64" s="44">
        <v>-1952754</v>
      </c>
      <c r="K64" s="44"/>
      <c r="L64" s="44">
        <f t="shared" si="16"/>
        <v>-1952754</v>
      </c>
    </row>
    <row r="65" spans="1:12" s="58" customFormat="1" ht="14.4" customHeight="1" x14ac:dyDescent="0.3">
      <c r="A65" s="43"/>
      <c r="B65" s="84" t="s">
        <v>246</v>
      </c>
      <c r="C65" s="43" t="s">
        <v>73</v>
      </c>
      <c r="D65" s="42" t="s">
        <v>74</v>
      </c>
      <c r="E65" s="43" t="s">
        <v>26</v>
      </c>
      <c r="F65" s="43" t="s">
        <v>79</v>
      </c>
      <c r="G65" s="43" t="s">
        <v>80</v>
      </c>
      <c r="H65" s="42" t="s">
        <v>27</v>
      </c>
      <c r="I65" s="44">
        <v>-5000000</v>
      </c>
      <c r="J65" s="44"/>
      <c r="K65" s="44"/>
      <c r="L65" s="44">
        <f t="shared" si="16"/>
        <v>-5000000</v>
      </c>
    </row>
    <row r="66" spans="1:12" s="58" customFormat="1" ht="29.25" customHeight="1" x14ac:dyDescent="0.3">
      <c r="A66" s="43"/>
      <c r="B66" s="84" t="s">
        <v>81</v>
      </c>
      <c r="C66" s="43" t="s">
        <v>82</v>
      </c>
      <c r="D66" s="42" t="s">
        <v>83</v>
      </c>
      <c r="E66" s="43" t="s">
        <v>26</v>
      </c>
      <c r="F66" s="43" t="s">
        <v>84</v>
      </c>
      <c r="G66" s="43" t="s">
        <v>85</v>
      </c>
      <c r="H66" s="42" t="s">
        <v>210</v>
      </c>
      <c r="I66" s="44">
        <v>-599.04999999999984</v>
      </c>
      <c r="J66" s="44"/>
      <c r="K66" s="44"/>
      <c r="L66" s="44">
        <f t="shared" si="16"/>
        <v>-599.04999999999984</v>
      </c>
    </row>
    <row r="67" spans="1:12" s="58" customFormat="1" ht="26.4" x14ac:dyDescent="0.3">
      <c r="A67" s="43"/>
      <c r="B67" s="84" t="s">
        <v>86</v>
      </c>
      <c r="C67" s="43" t="s">
        <v>82</v>
      </c>
      <c r="D67" s="42" t="s">
        <v>83</v>
      </c>
      <c r="E67" s="43" t="s">
        <v>26</v>
      </c>
      <c r="F67" s="43"/>
      <c r="G67" s="43"/>
      <c r="H67" s="42" t="s">
        <v>211</v>
      </c>
      <c r="I67" s="44">
        <f>-6500000-1600000</f>
        <v>-8100000</v>
      </c>
      <c r="J67" s="44"/>
      <c r="K67" s="44"/>
      <c r="L67" s="44">
        <f t="shared" si="16"/>
        <v>-8100000</v>
      </c>
    </row>
    <row r="68" spans="1:12" s="58" customFormat="1" ht="26.4" x14ac:dyDescent="0.3">
      <c r="A68" s="43"/>
      <c r="B68" s="84" t="s">
        <v>68</v>
      </c>
      <c r="C68" s="43" t="s">
        <v>82</v>
      </c>
      <c r="D68" s="42" t="s">
        <v>83</v>
      </c>
      <c r="E68" s="43" t="s">
        <v>26</v>
      </c>
      <c r="F68" s="43"/>
      <c r="G68" s="43"/>
      <c r="H68" s="42" t="s">
        <v>206</v>
      </c>
      <c r="I68" s="44">
        <v>-918229</v>
      </c>
      <c r="J68" s="44"/>
      <c r="K68" s="44"/>
      <c r="L68" s="44">
        <f t="shared" si="16"/>
        <v>-918229</v>
      </c>
    </row>
    <row r="69" spans="1:12" s="58" customFormat="1" ht="29.25" customHeight="1" x14ac:dyDescent="0.3">
      <c r="A69" s="43"/>
      <c r="B69" s="84" t="s">
        <v>81</v>
      </c>
      <c r="C69" s="43" t="s">
        <v>87</v>
      </c>
      <c r="D69" s="42" t="s">
        <v>88</v>
      </c>
      <c r="E69" s="43" t="s">
        <v>26</v>
      </c>
      <c r="F69" s="43" t="s">
        <v>84</v>
      </c>
      <c r="G69" s="43" t="s">
        <v>85</v>
      </c>
      <c r="H69" s="42" t="s">
        <v>210</v>
      </c>
      <c r="I69" s="44">
        <v>-23362.95</v>
      </c>
      <c r="J69" s="44"/>
      <c r="K69" s="44"/>
      <c r="L69" s="44">
        <f t="shared" si="16"/>
        <v>-23362.95</v>
      </c>
    </row>
    <row r="70" spans="1:12" s="58" customFormat="1" ht="26.4" x14ac:dyDescent="0.3">
      <c r="A70" s="43"/>
      <c r="B70" s="84" t="s">
        <v>89</v>
      </c>
      <c r="C70" s="43" t="s">
        <v>87</v>
      </c>
      <c r="D70" s="42" t="s">
        <v>88</v>
      </c>
      <c r="E70" s="43" t="s">
        <v>26</v>
      </c>
      <c r="F70" s="43"/>
      <c r="G70" s="43"/>
      <c r="H70" s="42" t="s">
        <v>212</v>
      </c>
      <c r="I70" s="44">
        <f>-12913123-471996-386899</f>
        <v>-13772018</v>
      </c>
      <c r="J70" s="44"/>
      <c r="K70" s="44">
        <f>138000+75000</f>
        <v>213000</v>
      </c>
      <c r="L70" s="44">
        <f t="shared" si="16"/>
        <v>-13559018</v>
      </c>
    </row>
    <row r="71" spans="1:12" s="58" customFormat="1" ht="26.4" x14ac:dyDescent="0.3">
      <c r="A71" s="43"/>
      <c r="B71" s="84" t="s">
        <v>68</v>
      </c>
      <c r="C71" s="43" t="s">
        <v>87</v>
      </c>
      <c r="D71" s="42" t="s">
        <v>88</v>
      </c>
      <c r="E71" s="43" t="s">
        <v>26</v>
      </c>
      <c r="F71" s="43" t="s">
        <v>20</v>
      </c>
      <c r="G71" s="43" t="s">
        <v>20</v>
      </c>
      <c r="H71" s="42" t="s">
        <v>206</v>
      </c>
      <c r="I71" s="44">
        <v>-1836459</v>
      </c>
      <c r="J71" s="44"/>
      <c r="K71" s="44"/>
      <c r="L71" s="44">
        <f t="shared" si="16"/>
        <v>-1836459</v>
      </c>
    </row>
    <row r="72" spans="1:12" s="58" customFormat="1" ht="42" customHeight="1" x14ac:dyDescent="0.3">
      <c r="A72" s="43"/>
      <c r="B72" s="84" t="s">
        <v>90</v>
      </c>
      <c r="C72" s="43" t="s">
        <v>91</v>
      </c>
      <c r="D72" s="42" t="s">
        <v>92</v>
      </c>
      <c r="E72" s="43" t="s">
        <v>26</v>
      </c>
      <c r="F72" s="43" t="s">
        <v>93</v>
      </c>
      <c r="G72" s="43" t="s">
        <v>94</v>
      </c>
      <c r="H72" s="43" t="s">
        <v>46</v>
      </c>
      <c r="I72" s="44">
        <v>-2500000</v>
      </c>
      <c r="J72" s="44"/>
      <c r="K72" s="44"/>
      <c r="L72" s="44">
        <f t="shared" si="16"/>
        <v>-2500000</v>
      </c>
    </row>
    <row r="73" spans="1:12" s="58" customFormat="1" ht="42.75" customHeight="1" x14ac:dyDescent="0.3">
      <c r="A73" s="43"/>
      <c r="B73" s="84" t="s">
        <v>95</v>
      </c>
      <c r="C73" s="43" t="s">
        <v>91</v>
      </c>
      <c r="D73" s="42" t="s">
        <v>92</v>
      </c>
      <c r="E73" s="43" t="s">
        <v>26</v>
      </c>
      <c r="F73" s="43"/>
      <c r="G73" s="43"/>
      <c r="H73" s="42" t="s">
        <v>211</v>
      </c>
      <c r="I73" s="44">
        <v>-4326982</v>
      </c>
      <c r="J73" s="44"/>
      <c r="K73" s="44"/>
      <c r="L73" s="44">
        <f t="shared" si="16"/>
        <v>-4326982</v>
      </c>
    </row>
    <row r="74" spans="1:12" s="58" customFormat="1" ht="39" customHeight="1" x14ac:dyDescent="0.3">
      <c r="A74" s="43"/>
      <c r="B74" s="84" t="s">
        <v>68</v>
      </c>
      <c r="C74" s="43" t="s">
        <v>91</v>
      </c>
      <c r="D74" s="42" t="s">
        <v>92</v>
      </c>
      <c r="E74" s="43" t="s">
        <v>26</v>
      </c>
      <c r="F74" s="43"/>
      <c r="G74" s="43"/>
      <c r="H74" s="42" t="s">
        <v>206</v>
      </c>
      <c r="I74" s="44">
        <v>-918229</v>
      </c>
      <c r="J74" s="44"/>
      <c r="K74" s="44"/>
      <c r="L74" s="44">
        <f t="shared" si="16"/>
        <v>-918229</v>
      </c>
    </row>
    <row r="75" spans="1:12" s="24" customFormat="1" ht="13.2" x14ac:dyDescent="0.25">
      <c r="A75" s="32" t="s">
        <v>96</v>
      </c>
      <c r="B75" s="85"/>
      <c r="C75" s="31"/>
      <c r="D75" s="14"/>
      <c r="E75" s="13"/>
      <c r="F75" s="13"/>
      <c r="G75" s="13"/>
      <c r="H75" s="13"/>
      <c r="I75" s="26">
        <f>+SUBTOTAL(9, I52:I74)</f>
        <v>-59542185.299572006</v>
      </c>
      <c r="J75" s="26">
        <f t="shared" ref="J75:L75" si="17">+SUBTOTAL(9, J52:J74)</f>
        <v>-18352754</v>
      </c>
      <c r="K75" s="26">
        <f t="shared" si="17"/>
        <v>-7293500</v>
      </c>
      <c r="L75" s="26">
        <f t="shared" si="17"/>
        <v>-85188439.299571991</v>
      </c>
    </row>
    <row r="76" spans="1:12" s="59" customFormat="1" ht="28.2" customHeight="1" x14ac:dyDescent="0.3">
      <c r="A76" s="69" t="s">
        <v>222</v>
      </c>
      <c r="B76" s="87"/>
      <c r="C76" s="63" t="s">
        <v>54</v>
      </c>
      <c r="D76" s="61" t="s">
        <v>55</v>
      </c>
      <c r="E76" s="63" t="s">
        <v>26</v>
      </c>
      <c r="F76" s="71"/>
      <c r="G76" s="71"/>
      <c r="H76" s="42" t="s">
        <v>38</v>
      </c>
      <c r="I76" s="44">
        <v>0</v>
      </c>
      <c r="J76" s="44"/>
      <c r="K76" s="44">
        <f>-20000-40000</f>
        <v>-60000</v>
      </c>
      <c r="L76" s="44">
        <f>+I76+J76+K76</f>
        <v>-60000</v>
      </c>
    </row>
    <row r="77" spans="1:12" s="59" customFormat="1" ht="26.4" x14ac:dyDescent="0.3">
      <c r="A77" s="71"/>
      <c r="B77" s="87"/>
      <c r="C77" s="43" t="s">
        <v>87</v>
      </c>
      <c r="D77" s="42" t="s">
        <v>88</v>
      </c>
      <c r="E77" s="43" t="s">
        <v>26</v>
      </c>
      <c r="F77" s="71"/>
      <c r="G77" s="71"/>
      <c r="H77" s="42" t="s">
        <v>38</v>
      </c>
      <c r="I77" s="44">
        <v>0</v>
      </c>
      <c r="J77" s="44"/>
      <c r="K77" s="44">
        <v>-20000</v>
      </c>
      <c r="L77" s="44">
        <f>+I77+J77+K77</f>
        <v>-20000</v>
      </c>
    </row>
    <row r="78" spans="1:12" s="24" customFormat="1" ht="13.2" x14ac:dyDescent="0.25">
      <c r="A78" s="68" t="s">
        <v>223</v>
      </c>
      <c r="B78" s="19"/>
      <c r="C78" s="13"/>
      <c r="D78" s="14"/>
      <c r="E78" s="13"/>
      <c r="F78" s="13"/>
      <c r="G78" s="13"/>
      <c r="H78" s="13"/>
      <c r="I78" s="26">
        <f>+SUBTOTAL(9, I76:I77)</f>
        <v>0</v>
      </c>
      <c r="J78" s="26">
        <f t="shared" ref="J78:L78" si="18">+SUBTOTAL(9, J76:J77)</f>
        <v>0</v>
      </c>
      <c r="K78" s="26">
        <f t="shared" si="18"/>
        <v>-80000</v>
      </c>
      <c r="L78" s="26">
        <f t="shared" si="18"/>
        <v>-80000</v>
      </c>
    </row>
    <row r="79" spans="1:12" s="69" customFormat="1" ht="28.5" customHeight="1" x14ac:dyDescent="0.3">
      <c r="A79" s="63" t="s">
        <v>97</v>
      </c>
      <c r="B79" s="84" t="s">
        <v>98</v>
      </c>
      <c r="C79" s="63" t="s">
        <v>54</v>
      </c>
      <c r="D79" s="61" t="s">
        <v>55</v>
      </c>
      <c r="E79" s="63" t="s">
        <v>26</v>
      </c>
      <c r="F79" s="63" t="s">
        <v>20</v>
      </c>
      <c r="G79" s="63" t="s">
        <v>20</v>
      </c>
      <c r="H79" s="61" t="s">
        <v>99</v>
      </c>
      <c r="I79" s="62">
        <v>-648000</v>
      </c>
      <c r="J79" s="62"/>
      <c r="K79" s="62"/>
      <c r="L79" s="44">
        <f t="shared" ref="L79:L82" si="19">+I79+J79+K79</f>
        <v>-648000</v>
      </c>
    </row>
    <row r="80" spans="1:12" s="58" customFormat="1" ht="26.4" x14ac:dyDescent="0.3">
      <c r="A80" s="42"/>
      <c r="B80" s="86" t="s">
        <v>53</v>
      </c>
      <c r="C80" s="43" t="s">
        <v>54</v>
      </c>
      <c r="D80" s="42" t="s">
        <v>55</v>
      </c>
      <c r="E80" s="43" t="s">
        <v>26</v>
      </c>
      <c r="F80" s="43"/>
      <c r="G80" s="43"/>
      <c r="H80" s="42" t="s">
        <v>224</v>
      </c>
      <c r="I80" s="43">
        <v>0</v>
      </c>
      <c r="J80" s="44"/>
      <c r="K80" s="44">
        <v>-2215000</v>
      </c>
      <c r="L80" s="44">
        <f>+I80+J80+K80</f>
        <v>-2215000</v>
      </c>
    </row>
    <row r="81" spans="1:12" s="58" customFormat="1" ht="26.4" x14ac:dyDescent="0.3">
      <c r="A81" s="42"/>
      <c r="B81" s="86"/>
      <c r="C81" s="43" t="s">
        <v>54</v>
      </c>
      <c r="D81" s="42" t="s">
        <v>55</v>
      </c>
      <c r="E81" s="43" t="s">
        <v>26</v>
      </c>
      <c r="F81" s="43"/>
      <c r="G81" s="43"/>
      <c r="H81" s="42" t="s">
        <v>225</v>
      </c>
      <c r="I81" s="43">
        <v>0</v>
      </c>
      <c r="J81" s="44"/>
      <c r="K81" s="44">
        <v>-3000000</v>
      </c>
      <c r="L81" s="44">
        <f t="shared" si="19"/>
        <v>-3000000</v>
      </c>
    </row>
    <row r="82" spans="1:12" s="58" customFormat="1" ht="26.4" x14ac:dyDescent="0.3">
      <c r="A82" s="70"/>
      <c r="B82" s="84" t="s">
        <v>100</v>
      </c>
      <c r="C82" s="43" t="s">
        <v>82</v>
      </c>
      <c r="D82" s="42" t="s">
        <v>83</v>
      </c>
      <c r="E82" s="43" t="s">
        <v>26</v>
      </c>
      <c r="F82" s="43"/>
      <c r="G82" s="43"/>
      <c r="H82" s="42" t="s">
        <v>38</v>
      </c>
      <c r="I82" s="62">
        <v>-179000</v>
      </c>
      <c r="J82" s="62"/>
      <c r="K82" s="62"/>
      <c r="L82" s="44">
        <f t="shared" si="19"/>
        <v>-179000</v>
      </c>
    </row>
    <row r="83" spans="1:12" s="24" customFormat="1" ht="13.2" x14ac:dyDescent="0.25">
      <c r="A83" s="33" t="s">
        <v>101</v>
      </c>
      <c r="B83" s="88"/>
      <c r="C83" s="13"/>
      <c r="D83" s="14"/>
      <c r="E83" s="13"/>
      <c r="F83" s="13"/>
      <c r="G83" s="13"/>
      <c r="H83" s="13"/>
      <c r="I83" s="26">
        <f>+SUBTOTAL(9, I79:I82)</f>
        <v>-827000</v>
      </c>
      <c r="J83" s="26">
        <f t="shared" ref="J83:L83" si="20">+SUBTOTAL(9, J79:J82)</f>
        <v>0</v>
      </c>
      <c r="K83" s="26">
        <f t="shared" si="20"/>
        <v>-5215000</v>
      </c>
      <c r="L83" s="26">
        <f t="shared" si="20"/>
        <v>-6042000</v>
      </c>
    </row>
    <row r="84" spans="1:12" s="59" customFormat="1" ht="26.4" x14ac:dyDescent="0.3">
      <c r="A84" s="43" t="s">
        <v>251</v>
      </c>
      <c r="B84" s="99"/>
      <c r="C84" s="43" t="s">
        <v>87</v>
      </c>
      <c r="D84" s="42" t="s">
        <v>88</v>
      </c>
      <c r="E84" s="43" t="s">
        <v>26</v>
      </c>
      <c r="F84" s="43"/>
      <c r="G84" s="43"/>
      <c r="H84" s="42" t="s">
        <v>253</v>
      </c>
      <c r="I84" s="44">
        <v>0</v>
      </c>
      <c r="J84" s="44"/>
      <c r="K84" s="44">
        <v>-75000</v>
      </c>
      <c r="L84" s="44">
        <f>+I84+J84+K84</f>
        <v>-75000</v>
      </c>
    </row>
    <row r="85" spans="1:12" s="24" customFormat="1" ht="13.2" x14ac:dyDescent="0.25">
      <c r="A85" s="77" t="s">
        <v>252</v>
      </c>
      <c r="B85" s="88"/>
      <c r="C85" s="13"/>
      <c r="D85" s="14"/>
      <c r="E85" s="13"/>
      <c r="F85" s="13"/>
      <c r="G85" s="13"/>
      <c r="H85" s="13"/>
      <c r="I85" s="26">
        <f>+SUBTOTAL(9, I84)</f>
        <v>0</v>
      </c>
      <c r="J85" s="26">
        <f t="shared" ref="J85:L85" si="21">+SUBTOTAL(9, J84)</f>
        <v>0</v>
      </c>
      <c r="K85" s="26">
        <f t="shared" si="21"/>
        <v>-75000</v>
      </c>
      <c r="L85" s="26">
        <f t="shared" si="21"/>
        <v>-75000</v>
      </c>
    </row>
    <row r="86" spans="1:12" s="59" customFormat="1" ht="25.2" customHeight="1" x14ac:dyDescent="0.3">
      <c r="A86" s="42" t="s">
        <v>109</v>
      </c>
      <c r="B86" s="84" t="s">
        <v>168</v>
      </c>
      <c r="C86" s="43" t="s">
        <v>87</v>
      </c>
      <c r="D86" s="42" t="s">
        <v>88</v>
      </c>
      <c r="E86" s="43" t="s">
        <v>26</v>
      </c>
      <c r="F86" s="43" t="s">
        <v>170</v>
      </c>
      <c r="G86" s="43" t="s">
        <v>171</v>
      </c>
      <c r="H86" s="43" t="s">
        <v>46</v>
      </c>
      <c r="I86" s="44">
        <v>0</v>
      </c>
      <c r="J86" s="44">
        <v>-10000</v>
      </c>
      <c r="K86" s="44"/>
      <c r="L86" s="44">
        <f t="shared" ref="L86:L92" si="22">+I86+J86+K86</f>
        <v>-10000</v>
      </c>
    </row>
    <row r="87" spans="1:12" s="59" customFormat="1" ht="27" customHeight="1" x14ac:dyDescent="0.3">
      <c r="A87" s="43" t="s">
        <v>111</v>
      </c>
      <c r="B87" s="84" t="s">
        <v>169</v>
      </c>
      <c r="C87" s="43" t="s">
        <v>87</v>
      </c>
      <c r="D87" s="42" t="s">
        <v>88</v>
      </c>
      <c r="E87" s="43" t="s">
        <v>26</v>
      </c>
      <c r="F87" s="43" t="s">
        <v>170</v>
      </c>
      <c r="G87" s="43" t="s">
        <v>171</v>
      </c>
      <c r="H87" s="43" t="s">
        <v>46</v>
      </c>
      <c r="I87" s="44">
        <v>0</v>
      </c>
      <c r="J87" s="44">
        <v>-5000</v>
      </c>
      <c r="K87" s="44"/>
      <c r="L87" s="44">
        <f t="shared" si="22"/>
        <v>-5000</v>
      </c>
    </row>
    <row r="88" spans="1:12" s="58" customFormat="1" ht="16.2" customHeight="1" x14ac:dyDescent="0.3">
      <c r="A88" s="42" t="s">
        <v>102</v>
      </c>
      <c r="B88" s="84" t="s">
        <v>103</v>
      </c>
      <c r="C88" s="43" t="s">
        <v>73</v>
      </c>
      <c r="D88" s="42" t="s">
        <v>74</v>
      </c>
      <c r="E88" s="43" t="s">
        <v>26</v>
      </c>
      <c r="F88" s="43" t="s">
        <v>104</v>
      </c>
      <c r="G88" s="43" t="s">
        <v>105</v>
      </c>
      <c r="H88" s="42" t="s">
        <v>38</v>
      </c>
      <c r="I88" s="44">
        <v>-5000</v>
      </c>
      <c r="J88" s="44"/>
      <c r="K88" s="44"/>
      <c r="L88" s="44">
        <f t="shared" si="22"/>
        <v>-5000</v>
      </c>
    </row>
    <row r="89" spans="1:12" s="58" customFormat="1" ht="25.5" customHeight="1" x14ac:dyDescent="0.3">
      <c r="A89" s="42" t="s">
        <v>106</v>
      </c>
      <c r="B89" s="84" t="s">
        <v>107</v>
      </c>
      <c r="C89" s="43" t="s">
        <v>82</v>
      </c>
      <c r="D89" s="42" t="s">
        <v>83</v>
      </c>
      <c r="E89" s="43" t="s">
        <v>26</v>
      </c>
      <c r="F89" s="43" t="s">
        <v>104</v>
      </c>
      <c r="G89" s="43" t="s">
        <v>105</v>
      </c>
      <c r="H89" s="42" t="s">
        <v>38</v>
      </c>
      <c r="I89" s="44">
        <v>-17000</v>
      </c>
      <c r="J89" s="44"/>
      <c r="K89" s="44"/>
      <c r="L89" s="44">
        <f t="shared" si="22"/>
        <v>-17000</v>
      </c>
    </row>
    <row r="90" spans="1:12" s="58" customFormat="1" ht="26.4" x14ac:dyDescent="0.3">
      <c r="A90" s="42" t="s">
        <v>215</v>
      </c>
      <c r="B90" s="84" t="s">
        <v>108</v>
      </c>
      <c r="C90" s="43" t="s">
        <v>82</v>
      </c>
      <c r="D90" s="42" t="s">
        <v>83</v>
      </c>
      <c r="E90" s="43" t="s">
        <v>26</v>
      </c>
      <c r="F90" s="43" t="s">
        <v>104</v>
      </c>
      <c r="G90" s="43" t="s">
        <v>105</v>
      </c>
      <c r="H90" s="42" t="s">
        <v>38</v>
      </c>
      <c r="I90" s="44">
        <v>-3000</v>
      </c>
      <c r="J90" s="44"/>
      <c r="K90" s="44"/>
      <c r="L90" s="44">
        <f t="shared" si="22"/>
        <v>-3000</v>
      </c>
    </row>
    <row r="91" spans="1:12" s="58" customFormat="1" ht="25.5" customHeight="1" x14ac:dyDescent="0.3">
      <c r="A91" s="42" t="s">
        <v>214</v>
      </c>
      <c r="B91" s="84" t="s">
        <v>110</v>
      </c>
      <c r="C91" s="43" t="s">
        <v>87</v>
      </c>
      <c r="D91" s="42" t="s">
        <v>88</v>
      </c>
      <c r="E91" s="43" t="s">
        <v>26</v>
      </c>
      <c r="F91" s="43" t="s">
        <v>104</v>
      </c>
      <c r="G91" s="43" t="s">
        <v>105</v>
      </c>
      <c r="H91" s="42" t="s">
        <v>38</v>
      </c>
      <c r="I91" s="44">
        <v>-30000</v>
      </c>
      <c r="J91" s="44"/>
      <c r="K91" s="44"/>
      <c r="L91" s="44">
        <f t="shared" si="22"/>
        <v>-30000</v>
      </c>
    </row>
    <row r="92" spans="1:12" s="58" customFormat="1" ht="26.4" x14ac:dyDescent="0.3">
      <c r="A92" s="43" t="s">
        <v>213</v>
      </c>
      <c r="B92" s="84" t="s">
        <v>112</v>
      </c>
      <c r="C92" s="43" t="s">
        <v>87</v>
      </c>
      <c r="D92" s="42" t="s">
        <v>88</v>
      </c>
      <c r="E92" s="43" t="s">
        <v>26</v>
      </c>
      <c r="F92" s="43" t="s">
        <v>104</v>
      </c>
      <c r="G92" s="43" t="s">
        <v>105</v>
      </c>
      <c r="H92" s="42" t="s">
        <v>38</v>
      </c>
      <c r="I92" s="44">
        <v>-5000</v>
      </c>
      <c r="J92" s="44"/>
      <c r="K92" s="44"/>
      <c r="L92" s="44">
        <f t="shared" si="22"/>
        <v>-5000</v>
      </c>
    </row>
    <row r="93" spans="1:12" s="24" customFormat="1" ht="13.2" x14ac:dyDescent="0.25">
      <c r="A93" s="13" t="s">
        <v>113</v>
      </c>
      <c r="B93" s="20"/>
      <c r="C93" s="19"/>
      <c r="D93" s="19"/>
      <c r="E93" s="19"/>
      <c r="F93" s="13"/>
      <c r="G93" s="13"/>
      <c r="H93" s="13"/>
      <c r="I93" s="26">
        <f>+SUBTOTAL(9, I88:I92)</f>
        <v>-60000</v>
      </c>
      <c r="J93" s="26">
        <f t="shared" ref="J93:L93" si="23">+SUBTOTAL(9, J88:J92)</f>
        <v>0</v>
      </c>
      <c r="K93" s="26">
        <f t="shared" si="23"/>
        <v>0</v>
      </c>
      <c r="L93" s="26">
        <f t="shared" si="23"/>
        <v>-60000</v>
      </c>
    </row>
    <row r="94" spans="1:12" s="58" customFormat="1" ht="30" customHeight="1" x14ac:dyDescent="0.3">
      <c r="A94" s="60" t="s">
        <v>114</v>
      </c>
      <c r="B94" s="86"/>
      <c r="C94" s="63" t="s">
        <v>54</v>
      </c>
      <c r="D94" s="61" t="s">
        <v>55</v>
      </c>
      <c r="E94" s="63" t="s">
        <v>26</v>
      </c>
      <c r="F94" s="63" t="s">
        <v>20</v>
      </c>
      <c r="G94" s="63" t="s">
        <v>20</v>
      </c>
      <c r="H94" s="61" t="s">
        <v>226</v>
      </c>
      <c r="I94" s="44">
        <v>0</v>
      </c>
      <c r="J94" s="44"/>
      <c r="K94" s="44">
        <v>-50000</v>
      </c>
      <c r="L94" s="44">
        <f>+I94+J94+K94</f>
        <v>-50000</v>
      </c>
    </row>
    <row r="95" spans="1:12" s="59" customFormat="1" ht="28.95" customHeight="1" x14ac:dyDescent="0.3">
      <c r="B95" s="89" t="s">
        <v>115</v>
      </c>
      <c r="C95" s="43" t="s">
        <v>82</v>
      </c>
      <c r="D95" s="42" t="s">
        <v>83</v>
      </c>
      <c r="E95" s="43" t="s">
        <v>26</v>
      </c>
      <c r="F95" s="43"/>
      <c r="G95" s="43"/>
      <c r="H95" s="42" t="s">
        <v>38</v>
      </c>
      <c r="I95" s="44">
        <v>-345000</v>
      </c>
      <c r="J95" s="44"/>
      <c r="K95" s="44"/>
      <c r="L95" s="44">
        <f>+I95+J95+K95</f>
        <v>-345000</v>
      </c>
    </row>
    <row r="96" spans="1:12" s="24" customFormat="1" ht="13.2" x14ac:dyDescent="0.25">
      <c r="A96" s="34" t="s">
        <v>116</v>
      </c>
      <c r="B96" s="90"/>
      <c r="C96" s="35"/>
      <c r="D96" s="36"/>
      <c r="E96" s="13"/>
      <c r="F96" s="13"/>
      <c r="G96" s="13"/>
      <c r="H96" s="13"/>
      <c r="I96" s="26">
        <f>+SUBTOTAL(9, I94:I95)</f>
        <v>-345000</v>
      </c>
      <c r="J96" s="26">
        <f t="shared" ref="J96:L96" si="24">+SUBTOTAL(9, J94:J95)</f>
        <v>0</v>
      </c>
      <c r="K96" s="26">
        <f t="shared" si="24"/>
        <v>-50000</v>
      </c>
      <c r="L96" s="26">
        <f t="shared" si="24"/>
        <v>-395000</v>
      </c>
    </row>
    <row r="97" spans="1:12" s="59" customFormat="1" ht="26.4" x14ac:dyDescent="0.3">
      <c r="A97" s="61" t="s">
        <v>117</v>
      </c>
      <c r="B97" s="84" t="s">
        <v>118</v>
      </c>
      <c r="C97" s="43" t="s">
        <v>82</v>
      </c>
      <c r="D97" s="42" t="s">
        <v>83</v>
      </c>
      <c r="E97" s="43" t="s">
        <v>26</v>
      </c>
      <c r="F97" s="43"/>
      <c r="G97" s="43"/>
      <c r="H97" s="42" t="s">
        <v>38</v>
      </c>
      <c r="I97" s="44">
        <v>-498000</v>
      </c>
      <c r="J97" s="44"/>
      <c r="K97" s="44"/>
      <c r="L97" s="44">
        <f>+I97+J97+K97</f>
        <v>-498000</v>
      </c>
    </row>
    <row r="98" spans="1:12" s="24" customFormat="1" ht="14.4" customHeight="1" x14ac:dyDescent="0.25">
      <c r="A98" s="110" t="s">
        <v>119</v>
      </c>
      <c r="B98" s="111"/>
      <c r="C98" s="10"/>
      <c r="D98" s="10"/>
      <c r="E98" s="13"/>
      <c r="F98" s="13"/>
      <c r="G98" s="13"/>
      <c r="H98" s="13"/>
      <c r="I98" s="26">
        <f>+SUBTOTAL(9,I97)</f>
        <v>-498000</v>
      </c>
      <c r="J98" s="26">
        <f t="shared" ref="J98:L98" si="25">+SUBTOTAL(9,J97)</f>
        <v>0</v>
      </c>
      <c r="K98" s="26">
        <f t="shared" si="25"/>
        <v>0</v>
      </c>
      <c r="L98" s="26">
        <f t="shared" si="25"/>
        <v>-498000</v>
      </c>
    </row>
    <row r="99" spans="1:12" s="58" customFormat="1" ht="26.4" x14ac:dyDescent="0.3">
      <c r="A99" s="43" t="s">
        <v>120</v>
      </c>
      <c r="B99" s="84" t="s">
        <v>121</v>
      </c>
      <c r="C99" s="43" t="s">
        <v>87</v>
      </c>
      <c r="D99" s="42" t="s">
        <v>88</v>
      </c>
      <c r="E99" s="43" t="s">
        <v>26</v>
      </c>
      <c r="F99" s="43"/>
      <c r="G99" s="43"/>
      <c r="H99" s="42" t="s">
        <v>216</v>
      </c>
      <c r="I99" s="62">
        <v>-360000</v>
      </c>
      <c r="J99" s="62"/>
      <c r="K99" s="62"/>
      <c r="L99" s="44">
        <f>+I99+J99+K99</f>
        <v>-360000</v>
      </c>
    </row>
    <row r="100" spans="1:12" s="24" customFormat="1" ht="13.2" x14ac:dyDescent="0.25">
      <c r="A100" s="13" t="s">
        <v>122</v>
      </c>
      <c r="B100" s="20"/>
      <c r="C100" s="13"/>
      <c r="D100" s="14"/>
      <c r="E100" s="13"/>
      <c r="F100" s="13"/>
      <c r="G100" s="13"/>
      <c r="H100" s="13"/>
      <c r="I100" s="37">
        <f>+SUBTOTAL(9, I99)</f>
        <v>-360000</v>
      </c>
      <c r="J100" s="37">
        <f t="shared" ref="J100:L100" si="26">+SUBTOTAL(9, J99)</f>
        <v>0</v>
      </c>
      <c r="K100" s="37">
        <f t="shared" si="26"/>
        <v>0</v>
      </c>
      <c r="L100" s="37">
        <f t="shared" si="26"/>
        <v>-360000</v>
      </c>
    </row>
    <row r="101" spans="1:12" s="58" customFormat="1" ht="26.4" x14ac:dyDescent="0.3">
      <c r="A101" s="43" t="s">
        <v>123</v>
      </c>
      <c r="B101" s="89" t="s">
        <v>124</v>
      </c>
      <c r="C101" s="43" t="s">
        <v>125</v>
      </c>
      <c r="D101" s="42" t="s">
        <v>126</v>
      </c>
      <c r="E101" s="43" t="s">
        <v>26</v>
      </c>
      <c r="F101" s="43" t="s">
        <v>127</v>
      </c>
      <c r="G101" s="43" t="s">
        <v>128</v>
      </c>
      <c r="H101" s="43" t="s">
        <v>46</v>
      </c>
      <c r="I101" s="44">
        <v>-800000</v>
      </c>
      <c r="J101" s="44"/>
      <c r="K101" s="44"/>
      <c r="L101" s="44">
        <f t="shared" ref="L101:L103" si="27">+I101+J101+K101</f>
        <v>-800000</v>
      </c>
    </row>
    <row r="102" spans="1:12" s="58" customFormat="1" ht="26.4" x14ac:dyDescent="0.3">
      <c r="A102" s="43"/>
      <c r="B102" s="89" t="s">
        <v>124</v>
      </c>
      <c r="C102" s="43" t="s">
        <v>125</v>
      </c>
      <c r="D102" s="42" t="s">
        <v>126</v>
      </c>
      <c r="E102" s="43" t="s">
        <v>26</v>
      </c>
      <c r="F102" s="43" t="s">
        <v>129</v>
      </c>
      <c r="G102" s="43" t="s">
        <v>130</v>
      </c>
      <c r="H102" s="43" t="s">
        <v>46</v>
      </c>
      <c r="I102" s="44">
        <v>-800000</v>
      </c>
      <c r="J102" s="44"/>
      <c r="K102" s="44"/>
      <c r="L102" s="44">
        <f t="shared" si="27"/>
        <v>-800000</v>
      </c>
    </row>
    <row r="103" spans="1:12" s="58" customFormat="1" ht="26.4" x14ac:dyDescent="0.3">
      <c r="A103" s="43"/>
      <c r="B103" s="89" t="s">
        <v>124</v>
      </c>
      <c r="C103" s="43" t="s">
        <v>125</v>
      </c>
      <c r="D103" s="42" t="s">
        <v>126</v>
      </c>
      <c r="E103" s="43" t="s">
        <v>26</v>
      </c>
      <c r="F103" s="43" t="s">
        <v>178</v>
      </c>
      <c r="G103" s="43" t="s">
        <v>179</v>
      </c>
      <c r="H103" s="43" t="s">
        <v>46</v>
      </c>
      <c r="I103" s="44">
        <v>0</v>
      </c>
      <c r="J103" s="44">
        <v>-1100056</v>
      </c>
      <c r="K103" s="44"/>
      <c r="L103" s="44">
        <f t="shared" si="27"/>
        <v>-1100056</v>
      </c>
    </row>
    <row r="104" spans="1:12" s="24" customFormat="1" ht="13.2" x14ac:dyDescent="0.25">
      <c r="A104" s="13" t="s">
        <v>131</v>
      </c>
      <c r="B104" s="20"/>
      <c r="C104" s="13"/>
      <c r="D104" s="14"/>
      <c r="E104" s="13"/>
      <c r="F104" s="13"/>
      <c r="G104" s="13"/>
      <c r="H104" s="13"/>
      <c r="I104" s="26">
        <f>+SUBTOTAL(9, I101:I103)</f>
        <v>-1600000</v>
      </c>
      <c r="J104" s="26">
        <f t="shared" ref="J104:L104" si="28">+SUBTOTAL(9, J101:J103)</f>
        <v>-1100056</v>
      </c>
      <c r="K104" s="26">
        <f t="shared" si="28"/>
        <v>0</v>
      </c>
      <c r="L104" s="26">
        <f t="shared" si="28"/>
        <v>-2700056</v>
      </c>
    </row>
    <row r="105" spans="1:12" s="58" customFormat="1" ht="26.4" x14ac:dyDescent="0.3">
      <c r="A105" s="43" t="s">
        <v>132</v>
      </c>
      <c r="B105" s="89" t="s">
        <v>133</v>
      </c>
      <c r="C105" s="43" t="s">
        <v>134</v>
      </c>
      <c r="D105" s="42" t="s">
        <v>135</v>
      </c>
      <c r="E105" s="43" t="s">
        <v>26</v>
      </c>
      <c r="F105" s="43" t="s">
        <v>20</v>
      </c>
      <c r="G105" s="43" t="s">
        <v>20</v>
      </c>
      <c r="H105" s="42" t="s">
        <v>136</v>
      </c>
      <c r="I105" s="44">
        <v>-7767000</v>
      </c>
      <c r="J105" s="44"/>
      <c r="K105" s="44"/>
      <c r="L105" s="44">
        <f t="shared" ref="L105:L106" si="29">+I105+J105+K105</f>
        <v>-7767000</v>
      </c>
    </row>
    <row r="106" spans="1:12" s="58" customFormat="1" ht="26.4" x14ac:dyDescent="0.3">
      <c r="A106" s="43"/>
      <c r="B106" s="89" t="s">
        <v>133</v>
      </c>
      <c r="C106" s="43" t="s">
        <v>134</v>
      </c>
      <c r="D106" s="42" t="s">
        <v>135</v>
      </c>
      <c r="E106" s="43" t="s">
        <v>26</v>
      </c>
      <c r="F106" s="43"/>
      <c r="G106" s="43"/>
      <c r="H106" s="42" t="s">
        <v>137</v>
      </c>
      <c r="I106" s="44">
        <v>-2300000</v>
      </c>
      <c r="J106" s="44"/>
      <c r="K106" s="44"/>
      <c r="L106" s="44">
        <f t="shared" si="29"/>
        <v>-2300000</v>
      </c>
    </row>
    <row r="107" spans="1:12" s="24" customFormat="1" ht="13.2" x14ac:dyDescent="0.25">
      <c r="A107" s="13" t="s">
        <v>138</v>
      </c>
      <c r="B107" s="20"/>
      <c r="C107" s="13"/>
      <c r="D107" s="14"/>
      <c r="E107" s="13"/>
      <c r="F107" s="13"/>
      <c r="G107" s="13"/>
      <c r="H107" s="13"/>
      <c r="I107" s="26">
        <f>+SUBTOTAL(9, I105:I106)</f>
        <v>-10067000</v>
      </c>
      <c r="J107" s="26">
        <f t="shared" ref="J107:L107" si="30">+SUBTOTAL(9, J105:J106)</f>
        <v>0</v>
      </c>
      <c r="K107" s="26">
        <f t="shared" si="30"/>
        <v>0</v>
      </c>
      <c r="L107" s="26">
        <f t="shared" si="30"/>
        <v>-10067000</v>
      </c>
    </row>
    <row r="108" spans="1:12" s="58" customFormat="1" ht="26.4" x14ac:dyDescent="0.3">
      <c r="A108" s="43" t="s">
        <v>217</v>
      </c>
      <c r="B108" s="89" t="s">
        <v>139</v>
      </c>
      <c r="C108" s="43" t="s">
        <v>140</v>
      </c>
      <c r="D108" s="42" t="s">
        <v>141</v>
      </c>
      <c r="E108" s="43" t="s">
        <v>26</v>
      </c>
      <c r="F108" s="43" t="s">
        <v>142</v>
      </c>
      <c r="G108" s="43" t="s">
        <v>143</v>
      </c>
      <c r="H108" s="42" t="s">
        <v>46</v>
      </c>
      <c r="I108" s="44">
        <v>-5000000</v>
      </c>
      <c r="J108" s="44"/>
      <c r="K108" s="44"/>
      <c r="L108" s="44">
        <f>+I108+J108+K108</f>
        <v>-5000000</v>
      </c>
    </row>
    <row r="109" spans="1:12" s="54" customFormat="1" ht="26.4" x14ac:dyDescent="0.3">
      <c r="A109" s="42" t="s">
        <v>218</v>
      </c>
      <c r="B109" s="84" t="s">
        <v>151</v>
      </c>
      <c r="C109" s="43" t="s">
        <v>140</v>
      </c>
      <c r="D109" s="42" t="s">
        <v>141</v>
      </c>
      <c r="E109" s="43" t="s">
        <v>26</v>
      </c>
      <c r="F109" s="43" t="s">
        <v>152</v>
      </c>
      <c r="G109" s="43" t="s">
        <v>153</v>
      </c>
      <c r="H109" s="43" t="s">
        <v>46</v>
      </c>
      <c r="I109" s="44">
        <v>-700000</v>
      </c>
      <c r="J109" s="44"/>
      <c r="K109" s="44"/>
      <c r="L109" s="44">
        <f>+I109+J109+K109</f>
        <v>-700000</v>
      </c>
    </row>
    <row r="110" spans="1:12" s="54" customFormat="1" ht="26.4" x14ac:dyDescent="0.3">
      <c r="A110" s="42" t="s">
        <v>150</v>
      </c>
      <c r="B110" s="89" t="s">
        <v>151</v>
      </c>
      <c r="C110" s="43" t="s">
        <v>140</v>
      </c>
      <c r="D110" s="42" t="s">
        <v>141</v>
      </c>
      <c r="E110" s="43" t="s">
        <v>26</v>
      </c>
      <c r="F110" s="43" t="s">
        <v>187</v>
      </c>
      <c r="G110" s="43" t="s">
        <v>188</v>
      </c>
      <c r="H110" s="42" t="s">
        <v>220</v>
      </c>
      <c r="I110" s="44">
        <v>0</v>
      </c>
      <c r="J110" s="44">
        <v>-4576306</v>
      </c>
      <c r="K110" s="44"/>
      <c r="L110" s="44">
        <f t="shared" ref="L110:L111" si="31">+I110+J110+K110</f>
        <v>-4576306</v>
      </c>
    </row>
    <row r="111" spans="1:12" s="54" customFormat="1" ht="26.4" x14ac:dyDescent="0.3">
      <c r="A111" s="43" t="s">
        <v>219</v>
      </c>
      <c r="B111" s="89" t="s">
        <v>151</v>
      </c>
      <c r="C111" s="43" t="s">
        <v>140</v>
      </c>
      <c r="D111" s="42" t="s">
        <v>141</v>
      </c>
      <c r="E111" s="43" t="s">
        <v>26</v>
      </c>
      <c r="F111" s="43" t="s">
        <v>196</v>
      </c>
      <c r="G111" s="43" t="s">
        <v>197</v>
      </c>
      <c r="H111" s="42" t="s">
        <v>46</v>
      </c>
      <c r="I111" s="44">
        <v>0</v>
      </c>
      <c r="J111" s="44">
        <v>-200000</v>
      </c>
      <c r="K111" s="44"/>
      <c r="L111" s="44">
        <f t="shared" si="31"/>
        <v>-200000</v>
      </c>
    </row>
    <row r="112" spans="1:12" s="24" customFormat="1" ht="13.2" x14ac:dyDescent="0.25">
      <c r="A112" s="41" t="s">
        <v>154</v>
      </c>
      <c r="B112" s="20"/>
      <c r="C112" s="13"/>
      <c r="D112" s="14"/>
      <c r="E112" s="13"/>
      <c r="F112" s="13"/>
      <c r="G112" s="13"/>
      <c r="H112" s="13"/>
      <c r="I112" s="26">
        <f>+SUBTOTAL(9, I108:I111)</f>
        <v>-5700000</v>
      </c>
      <c r="J112" s="26">
        <f t="shared" ref="J112:L112" si="32">+SUBTOTAL(9, J108:J111)</f>
        <v>-4776306</v>
      </c>
      <c r="K112" s="26">
        <f t="shared" si="32"/>
        <v>0</v>
      </c>
      <c r="L112" s="26">
        <f t="shared" si="32"/>
        <v>-10476306</v>
      </c>
    </row>
    <row r="113" spans="1:12" s="58" customFormat="1" ht="25.95" customHeight="1" x14ac:dyDescent="0.3">
      <c r="A113" s="43" t="s">
        <v>155</v>
      </c>
      <c r="B113" s="89" t="s">
        <v>156</v>
      </c>
      <c r="C113" s="43" t="s">
        <v>157</v>
      </c>
      <c r="D113" s="42" t="s">
        <v>158</v>
      </c>
      <c r="E113" s="43" t="s">
        <v>26</v>
      </c>
      <c r="F113" s="43" t="s">
        <v>20</v>
      </c>
      <c r="G113" s="43" t="s">
        <v>20</v>
      </c>
      <c r="H113" s="42" t="s">
        <v>159</v>
      </c>
      <c r="I113" s="44">
        <v>-5047703.0000000009</v>
      </c>
      <c r="J113" s="44"/>
      <c r="K113" s="44"/>
      <c r="L113" s="44">
        <f t="shared" ref="L113:L114" si="33">+I113+J113+K113</f>
        <v>-5047703.0000000009</v>
      </c>
    </row>
    <row r="114" spans="1:12" s="58" customFormat="1" ht="26.4" x14ac:dyDescent="0.3">
      <c r="A114" s="43"/>
      <c r="B114" s="89" t="s">
        <v>156</v>
      </c>
      <c r="C114" s="43" t="s">
        <v>157</v>
      </c>
      <c r="D114" s="42" t="s">
        <v>158</v>
      </c>
      <c r="E114" s="43" t="s">
        <v>26</v>
      </c>
      <c r="F114" s="43"/>
      <c r="G114" s="43"/>
      <c r="H114" s="42" t="s">
        <v>160</v>
      </c>
      <c r="I114" s="44">
        <v>-33528942.000089999</v>
      </c>
      <c r="J114" s="44"/>
      <c r="K114" s="44">
        <f>48000+70000</f>
        <v>118000</v>
      </c>
      <c r="L114" s="44">
        <f t="shared" si="33"/>
        <v>-33410942.000089999</v>
      </c>
    </row>
    <row r="115" spans="1:12" s="24" customFormat="1" ht="13.2" x14ac:dyDescent="0.25">
      <c r="A115" s="13" t="s">
        <v>161</v>
      </c>
      <c r="B115" s="19"/>
      <c r="C115" s="13"/>
      <c r="D115" s="14"/>
      <c r="E115" s="13"/>
      <c r="F115" s="13"/>
      <c r="G115" s="13"/>
      <c r="H115" s="13"/>
      <c r="I115" s="26">
        <f>+SUBTOTAL(9, I113:I114)</f>
        <v>-38576645.000090003</v>
      </c>
      <c r="J115" s="26">
        <f t="shared" ref="J115:L115" si="34">+SUBTOTAL(9, J113:J114)</f>
        <v>0</v>
      </c>
      <c r="K115" s="26">
        <f t="shared" si="34"/>
        <v>118000</v>
      </c>
      <c r="L115" s="26">
        <f t="shared" si="34"/>
        <v>-38458645.000090003</v>
      </c>
    </row>
    <row r="116" spans="1:12" s="54" customFormat="1" ht="26.4" x14ac:dyDescent="0.3">
      <c r="A116" s="43" t="s">
        <v>163</v>
      </c>
      <c r="B116" s="84" t="s">
        <v>162</v>
      </c>
      <c r="C116" s="43" t="s">
        <v>157</v>
      </c>
      <c r="D116" s="42" t="s">
        <v>158</v>
      </c>
      <c r="E116" s="47" t="s">
        <v>26</v>
      </c>
      <c r="F116" s="47"/>
      <c r="G116" s="47"/>
      <c r="H116" s="42" t="s">
        <v>165</v>
      </c>
      <c r="I116" s="44">
        <v>-1099866.9999899999</v>
      </c>
      <c r="J116" s="44"/>
      <c r="K116" s="44">
        <f>-48000-70000</f>
        <v>-118000</v>
      </c>
      <c r="L116" s="44">
        <f>+I116+J116+K116</f>
        <v>-1217866.9999899999</v>
      </c>
    </row>
    <row r="117" spans="1:12" s="24" customFormat="1" ht="13.2" x14ac:dyDescent="0.25">
      <c r="A117" s="41" t="s">
        <v>164</v>
      </c>
      <c r="B117" s="19"/>
      <c r="C117" s="13"/>
      <c r="D117" s="14"/>
      <c r="E117" s="13"/>
      <c r="F117" s="13"/>
      <c r="G117" s="13"/>
      <c r="H117" s="13"/>
      <c r="I117" s="26">
        <f>+SUBTOTAL(9, I116)</f>
        <v>-1099866.9999899999</v>
      </c>
      <c r="J117" s="26">
        <f t="shared" ref="J117:L117" si="35">+SUBTOTAL(9, J116)</f>
        <v>0</v>
      </c>
      <c r="K117" s="26">
        <f t="shared" si="35"/>
        <v>-118000</v>
      </c>
      <c r="L117" s="26">
        <f t="shared" si="35"/>
        <v>-1217866.9999899999</v>
      </c>
    </row>
    <row r="118" spans="1:12" s="54" customFormat="1" ht="25.8" customHeight="1" x14ac:dyDescent="0.3">
      <c r="A118" s="63" t="s">
        <v>144</v>
      </c>
      <c r="B118" s="89" t="s">
        <v>145</v>
      </c>
      <c r="C118" s="43" t="s">
        <v>54</v>
      </c>
      <c r="D118" s="42" t="s">
        <v>55</v>
      </c>
      <c r="E118" s="43" t="s">
        <v>26</v>
      </c>
      <c r="F118" s="47"/>
      <c r="G118" s="47"/>
      <c r="H118" s="42" t="s">
        <v>146</v>
      </c>
      <c r="I118" s="44">
        <v>-185000</v>
      </c>
      <c r="J118" s="44"/>
      <c r="K118" s="44"/>
      <c r="L118" s="44">
        <f t="shared" ref="L118:L119" si="36">+I118+J118+K118</f>
        <v>-185000</v>
      </c>
    </row>
    <row r="119" spans="1:12" ht="14.4" customHeight="1" x14ac:dyDescent="0.3">
      <c r="A119" s="28"/>
      <c r="B119" s="81" t="s">
        <v>147</v>
      </c>
      <c r="C119" s="108" t="s">
        <v>148</v>
      </c>
      <c r="D119" s="108"/>
      <c r="E119" s="17" t="s">
        <v>26</v>
      </c>
      <c r="F119" s="11"/>
      <c r="G119" s="11"/>
      <c r="H119" s="17" t="s">
        <v>38</v>
      </c>
      <c r="I119" s="18">
        <v>-468000</v>
      </c>
      <c r="J119" s="18"/>
      <c r="K119" s="18"/>
      <c r="L119" s="18">
        <f t="shared" si="36"/>
        <v>-468000</v>
      </c>
    </row>
    <row r="120" spans="1:12" x14ac:dyDescent="0.3">
      <c r="A120" s="29" t="s">
        <v>149</v>
      </c>
      <c r="B120" s="83"/>
      <c r="C120" s="38"/>
      <c r="D120" s="38"/>
      <c r="E120" s="38"/>
      <c r="F120" s="38"/>
      <c r="G120" s="38"/>
      <c r="H120" s="38"/>
      <c r="I120" s="39">
        <f>+SUBTOTAL(9, I118:I119)</f>
        <v>-653000</v>
      </c>
      <c r="J120" s="39">
        <f t="shared" ref="J120:L120" si="37">+SUBTOTAL(9, J118:J119)</f>
        <v>0</v>
      </c>
      <c r="K120" s="39">
        <f t="shared" si="37"/>
        <v>0</v>
      </c>
      <c r="L120" s="39">
        <f t="shared" si="37"/>
        <v>-653000</v>
      </c>
    </row>
  </sheetData>
  <mergeCells count="6">
    <mergeCell ref="H2:L3"/>
    <mergeCell ref="A5:D6"/>
    <mergeCell ref="G11:H11"/>
    <mergeCell ref="A30:C30"/>
    <mergeCell ref="C119:D119"/>
    <mergeCell ref="A98:B98"/>
  </mergeCells>
  <phoneticPr fontId="20" type="noConversion"/>
  <pageMargins left="0.31496062992125984" right="0.31496062992125984" top="0.27559055118110237" bottom="0.51181102362204722" header="0.31496062992125984" footer="0.31496062992125984"/>
  <pageSetup paperSize="9" scale="79" fitToHeight="0" orientation="landscape" r:id="rId1"/>
  <headerFooter>
    <oddFooter>Lk &amp;P &amp;N-st</oddFooter>
  </headerFooter>
  <customProperties>
    <customPr name="EpmWorksheetKeyString_GUID" r:id="rId2"/>
  </customProperties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1</vt:i4>
      </vt:variant>
    </vt:vector>
  </HeadingPairs>
  <TitlesOfParts>
    <vt:vector size="2" baseType="lpstr">
      <vt:lpstr>Lisa 8 MKM_toetused</vt:lpstr>
      <vt:lpstr>'Lisa 8 MKM_toetused'!Prindiala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Krista Fazijev</dc:creator>
  <cp:lastModifiedBy>Helena Siemann</cp:lastModifiedBy>
  <dcterms:created xsi:type="dcterms:W3CDTF">2022-12-30T15:09:08Z</dcterms:created>
  <dcterms:modified xsi:type="dcterms:W3CDTF">2023-01-27T15:42:58Z</dcterms:modified>
</cp:coreProperties>
</file>